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5132" windowHeight="9816"/>
  </bookViews>
  <sheets>
    <sheet name="Raming" sheetId="2" r:id="rId1"/>
  </sheets>
  <externalReferences>
    <externalReference r:id="rId2"/>
  </externalReferences>
  <definedNames>
    <definedName name="_xlnm._FilterDatabase" localSheetId="0" hidden="1">Raming!$M$14:$M$238</definedName>
    <definedName name="_xlnm.Criteria" localSheetId="0">Raming!#REF!</definedName>
    <definedName name="HuidigJaar">Raming!#REF!</definedName>
    <definedName name="huur_BLE">Raming!#REF!</definedName>
    <definedName name="huur_GWZI">Raming!#REF!</definedName>
    <definedName name="_xlnm.Print_Area" localSheetId="0">Raming!$B$3:$L$238</definedName>
    <definedName name="_xlnm.Print_Titles" localSheetId="0">Raming!$B:$F,Raming!$10:$11</definedName>
    <definedName name="SCU52_HuidigJaar">Raming!#REF!</definedName>
    <definedName name="SCU52_HuidigJaarPlus1">Raming!#REF!</definedName>
    <definedName name="SCU52_HuidigJaarPlus2">Raming!#REF!</definedName>
    <definedName name="SCU52_HuidigJaarPlus3">Raming!#REF!</definedName>
    <definedName name="SCU53_HuidigJaar">Raming!#REF!</definedName>
    <definedName name="SCU53_HuidigJaarPlus1">Raming!#REF!</definedName>
    <definedName name="SCU53_HuidigJaarPlus2">Raming!#REF!</definedName>
    <definedName name="SCU53_HuidigJaarPlus3">Raming!#REF!</definedName>
    <definedName name="SCU56_HuidigJaar">Raming!#REF!</definedName>
    <definedName name="SCU56_HuidigJaarPlus1">Raming!#REF!</definedName>
    <definedName name="SCU56_HuidigJaarPlus2">Raming!#REF!</definedName>
    <definedName name="SCU56_HuidigJaarPlus3">Raming!#REF!</definedName>
    <definedName name="SCU62_HuidigJaar">Raming!#REF!</definedName>
    <definedName name="SCU62_HuidigJaarPlus1">Raming!#REF!</definedName>
    <definedName name="SCU62_HuidigJaarPlus2">Raming!#REF!</definedName>
    <definedName name="SCU62_HuidigJaarPlus3">Raming!#REF!</definedName>
    <definedName name="SCU75_HuidigJaar">Raming!#REF!</definedName>
    <definedName name="SCU75_HuidigJaarPlus1">Raming!#REF!</definedName>
    <definedName name="SCU75_HuidigJaarPlus2">Raming!#REF!</definedName>
    <definedName name="SCU75_HuidigJaarPlus3">Raming!#REF!</definedName>
    <definedName name="SCU85_HuidigJaar">Raming!#REF!</definedName>
    <definedName name="SCU85_HuidigJaarPlus1">Raming!#REF!</definedName>
    <definedName name="SCU85_HuidigJaarPlus2">Raming!#REF!</definedName>
    <definedName name="SCU85_HuidigJaarPlus3">Raming!#REF!</definedName>
    <definedName name="TOTAAL_aanneminginsitu">Raming!#REF!</definedName>
    <definedName name="TOTAAL_beginsitu">[1]SCU75_FollowUpInSitu!$G$32</definedName>
    <definedName name="Z_230C8139_1161_4CFC_85EC_553AF21548FA_.wvu.Cols" localSheetId="0" hidden="1">Raming!$C:$C,Raming!$F:$F,Raming!$N:$T,Raming!$U:$XFD</definedName>
    <definedName name="Z_230C8139_1161_4CFC_85EC_553AF21548FA_.wvu.FilterData" localSheetId="0" hidden="1">Raming!$M$14:$M$238</definedName>
    <definedName name="Z_230C8139_1161_4CFC_85EC_553AF21548FA_.wvu.PrintArea" localSheetId="0" hidden="1">Raming!$B$3:$L$238</definedName>
    <definedName name="Z_230C8139_1161_4CFC_85EC_553AF21548FA_.wvu.PrintTitles" localSheetId="0" hidden="1">Raming!$B:$F,Raming!$10:$11</definedName>
    <definedName name="Z_230C8139_1161_4CFC_85EC_553AF21548FA_.wvu.Rows" localSheetId="0" hidden="1">Raming!$1:$3,Raming!$10:$11</definedName>
    <definedName name="Z_774A8F87_974A_4D8C_97A9_561A721B83E2_.wvu.Cols" localSheetId="0" hidden="1">Raming!$D:$E,Raming!$N:$T,Raming!$U:$XFD</definedName>
    <definedName name="Z_774A8F87_974A_4D8C_97A9_561A721B83E2_.wvu.FilterData" localSheetId="0" hidden="1">Raming!$M$14:$M$238</definedName>
    <definedName name="Z_774A8F87_974A_4D8C_97A9_561A721B83E2_.wvu.PrintArea" localSheetId="0" hidden="1">Raming!$B$3:$L$238</definedName>
    <definedName name="Z_774A8F87_974A_4D8C_97A9_561A721B83E2_.wvu.PrintTitles" localSheetId="0" hidden="1">Raming!$B:$F,Raming!$10:$11</definedName>
    <definedName name="Z_774A8F87_974A_4D8C_97A9_561A721B83E2_.wvu.Rows" localSheetId="0" hidden="1">Raming!$4:$4,Raming!$12:$13</definedName>
  </definedNames>
  <calcPr calcId="145621"/>
  <customWorkbookViews>
    <customWorkbookView name="FRANCAIS" guid="{230C8139-1161-4CFC-85EC-553AF21548FA}" maximized="1" xWindow="1" yWindow="1" windowWidth="1280" windowHeight="804" activeSheetId="2"/>
    <customWorkbookView name="NEDERLANDS" guid="{774A8F87-974A-4D8C-97A9-561A721B83E2}" maximized="1" xWindow="1" yWindow="1" windowWidth="1280" windowHeight="804" activeSheetId="2"/>
  </customWorkbookViews>
</workbook>
</file>

<file path=xl/calcChain.xml><?xml version="1.0" encoding="utf-8"?>
<calcChain xmlns="http://schemas.openxmlformats.org/spreadsheetml/2006/main">
  <c r="J25" i="2" l="1"/>
  <c r="H25" i="2"/>
  <c r="G138" i="2" l="1"/>
  <c r="G139" i="2"/>
  <c r="N220" i="2"/>
  <c r="N219" i="2"/>
  <c r="N217" i="2"/>
  <c r="N214" i="2"/>
  <c r="N213" i="2"/>
  <c r="N211" i="2"/>
  <c r="N208" i="2"/>
  <c r="N207" i="2"/>
  <c r="N205" i="2"/>
  <c r="N202" i="2"/>
  <c r="N201" i="2"/>
  <c r="N199" i="2"/>
  <c r="N194" i="2"/>
  <c r="N192" i="2"/>
  <c r="N188" i="2"/>
  <c r="N186" i="2"/>
  <c r="N176" i="2"/>
  <c r="N182" i="2"/>
  <c r="N180" i="2"/>
  <c r="N174" i="2"/>
  <c r="N162" i="2"/>
  <c r="M158" i="2" l="1"/>
  <c r="N152" i="2"/>
  <c r="N151" i="2"/>
  <c r="N130" i="2"/>
  <c r="N119" i="2"/>
  <c r="N118" i="2"/>
  <c r="N117" i="2"/>
  <c r="N112" i="2"/>
  <c r="N102" i="2"/>
  <c r="N98" i="2"/>
  <c r="N97" i="2"/>
  <c r="N96" i="2"/>
  <c r="N95" i="2"/>
  <c r="N94" i="2"/>
  <c r="N92" i="2"/>
  <c r="N91" i="2"/>
  <c r="N90" i="2"/>
  <c r="N89" i="2"/>
  <c r="N87" i="2"/>
  <c r="N86" i="2"/>
  <c r="N85" i="2"/>
  <c r="N84" i="2"/>
  <c r="G67" i="2"/>
  <c r="N58" i="2"/>
  <c r="N54" i="2"/>
  <c r="N47" i="2"/>
  <c r="N40" i="2"/>
  <c r="N37" i="2"/>
  <c r="K152" i="2" l="1"/>
  <c r="I152" i="2"/>
  <c r="K151" i="2"/>
  <c r="I151" i="2"/>
  <c r="K165" i="2"/>
  <c r="I165" i="2"/>
  <c r="I159" i="2"/>
  <c r="K159" i="2"/>
  <c r="K226" i="2"/>
  <c r="I226" i="2"/>
  <c r="K232" i="2"/>
  <c r="I232" i="2"/>
  <c r="K231" i="2"/>
  <c r="I231" i="2"/>
  <c r="K230" i="2"/>
  <c r="I230" i="2"/>
  <c r="K229" i="2"/>
  <c r="I229" i="2"/>
  <c r="K228" i="2"/>
  <c r="I228" i="2"/>
  <c r="K227" i="2"/>
  <c r="I227" i="2"/>
  <c r="K58" i="2"/>
  <c r="L58" i="2" s="1"/>
  <c r="M58" i="2" s="1"/>
  <c r="I58" i="2"/>
  <c r="K57" i="2"/>
  <c r="I57" i="2"/>
  <c r="N51" i="2"/>
  <c r="O48" i="2"/>
  <c r="O50" i="2"/>
  <c r="O49" i="2"/>
  <c r="N33" i="2"/>
  <c r="N36" i="2"/>
  <c r="O35" i="2"/>
  <c r="N35" i="2"/>
  <c r="N34" i="2"/>
  <c r="N127" i="2"/>
  <c r="G134" i="2"/>
  <c r="N113" i="2"/>
  <c r="N114" i="2"/>
  <c r="N104" i="2"/>
  <c r="N157" i="2"/>
  <c r="N158" i="2"/>
  <c r="K163" i="2"/>
  <c r="I163" i="2"/>
  <c r="K157" i="2"/>
  <c r="I157" i="2"/>
  <c r="G68" i="2"/>
  <c r="G70" i="2"/>
  <c r="N197" i="2"/>
  <c r="N222" i="2"/>
  <c r="N166" i="2"/>
  <c r="M235" i="2"/>
  <c r="M19" i="2"/>
  <c r="J134" i="2"/>
  <c r="L151" i="2" l="1"/>
  <c r="M151" i="2" s="1"/>
  <c r="L226" i="2"/>
  <c r="L227" i="2"/>
  <c r="M227" i="2" s="1"/>
  <c r="L228" i="2"/>
  <c r="M228" i="2" s="1"/>
  <c r="L229" i="2"/>
  <c r="M229" i="2" s="1"/>
  <c r="L230" i="2"/>
  <c r="M230" i="2" s="1"/>
  <c r="L231" i="2"/>
  <c r="M231" i="2" s="1"/>
  <c r="L232" i="2"/>
  <c r="M232" i="2" s="1"/>
  <c r="L159" i="2"/>
  <c r="M159" i="2" s="1"/>
  <c r="L57" i="2"/>
  <c r="M57" i="2" s="1"/>
  <c r="L152" i="2"/>
  <c r="M152" i="2" s="1"/>
  <c r="L165" i="2"/>
  <c r="M165" i="2" s="1"/>
  <c r="L157" i="2"/>
  <c r="M157" i="2" s="1"/>
  <c r="L163" i="2"/>
  <c r="M163" i="2" s="1"/>
  <c r="H134" i="2"/>
  <c r="K225" i="2"/>
  <c r="K224" i="2"/>
  <c r="K223" i="2"/>
  <c r="K222" i="2"/>
  <c r="K221" i="2"/>
  <c r="K218" i="2"/>
  <c r="K216" i="2"/>
  <c r="K215" i="2"/>
  <c r="K212" i="2"/>
  <c r="K210" i="2"/>
  <c r="K209" i="2"/>
  <c r="K206" i="2"/>
  <c r="K204" i="2"/>
  <c r="K203" i="2"/>
  <c r="K200" i="2"/>
  <c r="K198" i="2"/>
  <c r="K197" i="2"/>
  <c r="K196" i="2"/>
  <c r="K195" i="2"/>
  <c r="K194" i="2"/>
  <c r="K193" i="2"/>
  <c r="K191" i="2"/>
  <c r="K190" i="2"/>
  <c r="K189" i="2"/>
  <c r="K188" i="2"/>
  <c r="K187" i="2"/>
  <c r="K185" i="2"/>
  <c r="K184" i="2"/>
  <c r="K183" i="2"/>
  <c r="K182" i="2"/>
  <c r="K181" i="2"/>
  <c r="K179" i="2"/>
  <c r="K178" i="2"/>
  <c r="K177" i="2"/>
  <c r="K176" i="2"/>
  <c r="K175" i="2"/>
  <c r="K173" i="2"/>
  <c r="K172" i="2"/>
  <c r="K171" i="2"/>
  <c r="K170" i="2"/>
  <c r="K169" i="2"/>
  <c r="K168" i="2"/>
  <c r="K167" i="2"/>
  <c r="K166" i="2"/>
  <c r="K164" i="2"/>
  <c r="K161" i="2"/>
  <c r="K160" i="2"/>
  <c r="K158" i="2"/>
  <c r="K156" i="2"/>
  <c r="K155" i="2"/>
  <c r="K154" i="2"/>
  <c r="K153" i="2"/>
  <c r="K149" i="2"/>
  <c r="K148" i="2"/>
  <c r="K145" i="2"/>
  <c r="K144" i="2"/>
  <c r="K141" i="2"/>
  <c r="K140" i="2"/>
  <c r="K137" i="2"/>
  <c r="K136" i="2"/>
  <c r="K135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3" i="2"/>
  <c r="K88" i="2"/>
  <c r="K83" i="2"/>
  <c r="K82" i="2"/>
  <c r="K81" i="2"/>
  <c r="K79" i="2"/>
  <c r="K76" i="2"/>
  <c r="K74" i="2"/>
  <c r="K71" i="2"/>
  <c r="K69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1" i="2"/>
  <c r="K30" i="2"/>
  <c r="K28" i="2"/>
  <c r="K27" i="2"/>
  <c r="K26" i="2"/>
  <c r="K23" i="2"/>
  <c r="K21" i="2"/>
  <c r="I233" i="2"/>
  <c r="I225" i="2"/>
  <c r="I224" i="2"/>
  <c r="I223" i="2"/>
  <c r="I222" i="2"/>
  <c r="I221" i="2"/>
  <c r="I218" i="2"/>
  <c r="I216" i="2"/>
  <c r="I215" i="2"/>
  <c r="I212" i="2"/>
  <c r="I210" i="2"/>
  <c r="I209" i="2"/>
  <c r="I206" i="2"/>
  <c r="I204" i="2"/>
  <c r="I203" i="2"/>
  <c r="I200" i="2"/>
  <c r="I198" i="2"/>
  <c r="I197" i="2"/>
  <c r="I196" i="2"/>
  <c r="I195" i="2"/>
  <c r="I194" i="2"/>
  <c r="I193" i="2"/>
  <c r="I191" i="2"/>
  <c r="I190" i="2"/>
  <c r="I189" i="2"/>
  <c r="I188" i="2"/>
  <c r="I187" i="2"/>
  <c r="I185" i="2"/>
  <c r="I184" i="2"/>
  <c r="I183" i="2"/>
  <c r="I182" i="2"/>
  <c r="I181" i="2"/>
  <c r="I179" i="2"/>
  <c r="I178" i="2"/>
  <c r="I177" i="2"/>
  <c r="I176" i="2"/>
  <c r="I175" i="2"/>
  <c r="I173" i="2"/>
  <c r="I172" i="2"/>
  <c r="I171" i="2"/>
  <c r="I170" i="2"/>
  <c r="I169" i="2"/>
  <c r="I168" i="2"/>
  <c r="I167" i="2"/>
  <c r="I166" i="2"/>
  <c r="I164" i="2"/>
  <c r="I161" i="2"/>
  <c r="I160" i="2"/>
  <c r="I158" i="2"/>
  <c r="I156" i="2"/>
  <c r="I155" i="2"/>
  <c r="I154" i="2"/>
  <c r="I153" i="2"/>
  <c r="I149" i="2"/>
  <c r="I148" i="2"/>
  <c r="I145" i="2"/>
  <c r="I144" i="2"/>
  <c r="I141" i="2"/>
  <c r="I140" i="2"/>
  <c r="I137" i="2"/>
  <c r="I136" i="2"/>
  <c r="I135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3" i="2"/>
  <c r="I88" i="2"/>
  <c r="I83" i="2"/>
  <c r="I82" i="2"/>
  <c r="I81" i="2"/>
  <c r="I79" i="2"/>
  <c r="I76" i="2"/>
  <c r="I74" i="2"/>
  <c r="I71" i="2"/>
  <c r="I69" i="2"/>
  <c r="I66" i="2"/>
  <c r="I65" i="2"/>
  <c r="I64" i="2"/>
  <c r="I63" i="2"/>
  <c r="I62" i="2"/>
  <c r="I61" i="2"/>
  <c r="I60" i="2"/>
  <c r="I59" i="2"/>
  <c r="I56" i="2"/>
  <c r="I55" i="2"/>
  <c r="I54" i="2"/>
  <c r="I53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1" i="2"/>
  <c r="I30" i="2"/>
  <c r="I28" i="2"/>
  <c r="I27" i="2"/>
  <c r="I26" i="2"/>
  <c r="I23" i="2"/>
  <c r="I21" i="2"/>
  <c r="K233" i="2"/>
  <c r="K19" i="2"/>
  <c r="K15" i="2"/>
  <c r="J147" i="2"/>
  <c r="J143" i="2"/>
  <c r="J139" i="2"/>
  <c r="I219" i="2"/>
  <c r="I213" i="2"/>
  <c r="I207" i="2"/>
  <c r="I201" i="2"/>
  <c r="K192" i="2"/>
  <c r="K186" i="2"/>
  <c r="K174" i="2"/>
  <c r="K180" i="2"/>
  <c r="J32" i="2" l="1"/>
  <c r="M150" i="2"/>
  <c r="L28" i="2"/>
  <c r="M28" i="2" s="1"/>
  <c r="L27" i="2"/>
  <c r="M27" i="2" s="1"/>
  <c r="L23" i="2"/>
  <c r="L30" i="2"/>
  <c r="L39" i="2"/>
  <c r="L41" i="2"/>
  <c r="M41" i="2" s="1"/>
  <c r="L44" i="2"/>
  <c r="M44" i="2" s="1"/>
  <c r="L46" i="2"/>
  <c r="L48" i="2"/>
  <c r="M48" i="2" s="1"/>
  <c r="L50" i="2"/>
  <c r="M50" i="2" s="1"/>
  <c r="L54" i="2"/>
  <c r="M54" i="2" s="1"/>
  <c r="L56" i="2"/>
  <c r="M56" i="2" s="1"/>
  <c r="L60" i="2"/>
  <c r="L62" i="2"/>
  <c r="M62" i="2" s="1"/>
  <c r="L64" i="2"/>
  <c r="L66" i="2"/>
  <c r="L71" i="2"/>
  <c r="L76" i="2"/>
  <c r="L81" i="2"/>
  <c r="M81" i="2" s="1"/>
  <c r="L83" i="2"/>
  <c r="L93" i="2"/>
  <c r="L99" i="2"/>
  <c r="M99" i="2" s="1"/>
  <c r="L101" i="2"/>
  <c r="M101" i="2" s="1"/>
  <c r="L103" i="2"/>
  <c r="L105" i="2"/>
  <c r="M105" i="2" s="1"/>
  <c r="L107" i="2"/>
  <c r="M107" i="2" s="1"/>
  <c r="L109" i="2"/>
  <c r="M109" i="2" s="1"/>
  <c r="L111" i="2"/>
  <c r="M111" i="2" s="1"/>
  <c r="L114" i="2"/>
  <c r="M114" i="2" s="1"/>
  <c r="L116" i="2"/>
  <c r="L117" i="2"/>
  <c r="M117" i="2" s="1"/>
  <c r="L118" i="2"/>
  <c r="M118" i="2" s="1"/>
  <c r="L120" i="2"/>
  <c r="L122" i="2"/>
  <c r="M122" i="2" s="1"/>
  <c r="L124" i="2"/>
  <c r="M124" i="2" s="1"/>
  <c r="L126" i="2"/>
  <c r="L127" i="2"/>
  <c r="M127" i="2" s="1"/>
  <c r="L129" i="2"/>
  <c r="L131" i="2"/>
  <c r="M131" i="2" s="1"/>
  <c r="L136" i="2"/>
  <c r="M136" i="2" s="1"/>
  <c r="L140" i="2"/>
  <c r="M140" i="2" s="1"/>
  <c r="L144" i="2"/>
  <c r="M144" i="2" s="1"/>
  <c r="L148" i="2"/>
  <c r="M148" i="2" s="1"/>
  <c r="L153" i="2"/>
  <c r="L155" i="2"/>
  <c r="M155" i="2" s="1"/>
  <c r="L158" i="2"/>
  <c r="L161" i="2"/>
  <c r="L167" i="2"/>
  <c r="M167" i="2" s="1"/>
  <c r="L169" i="2"/>
  <c r="L171" i="2"/>
  <c r="L173" i="2"/>
  <c r="M173" i="2" s="1"/>
  <c r="L176" i="2"/>
  <c r="M176" i="2" s="1"/>
  <c r="L178" i="2"/>
  <c r="M178" i="2" s="1"/>
  <c r="L181" i="2"/>
  <c r="M181" i="2" s="1"/>
  <c r="L183" i="2"/>
  <c r="L185" i="2"/>
  <c r="M185" i="2" s="1"/>
  <c r="L188" i="2"/>
  <c r="M188" i="2" s="1"/>
  <c r="L190" i="2"/>
  <c r="M190" i="2" s="1"/>
  <c r="L193" i="2"/>
  <c r="M193" i="2" s="1"/>
  <c r="L195" i="2"/>
  <c r="M195" i="2" s="1"/>
  <c r="L197" i="2"/>
  <c r="M197" i="2" s="1"/>
  <c r="L200" i="2"/>
  <c r="M200" i="2" s="1"/>
  <c r="L204" i="2"/>
  <c r="L209" i="2"/>
  <c r="M209" i="2" s="1"/>
  <c r="L212" i="2"/>
  <c r="M212" i="2" s="1"/>
  <c r="L216" i="2"/>
  <c r="L221" i="2"/>
  <c r="M221" i="2" s="1"/>
  <c r="L223" i="2"/>
  <c r="M223" i="2" s="1"/>
  <c r="L225" i="2"/>
  <c r="M225" i="2" s="1"/>
  <c r="L21" i="2"/>
  <c r="L26" i="2"/>
  <c r="L31" i="2"/>
  <c r="L40" i="2"/>
  <c r="L42" i="2"/>
  <c r="M42" i="2" s="1"/>
  <c r="L43" i="2"/>
  <c r="M43" i="2" s="1"/>
  <c r="L45" i="2"/>
  <c r="M45" i="2" s="1"/>
  <c r="L47" i="2"/>
  <c r="M47" i="2" s="1"/>
  <c r="L49" i="2"/>
  <c r="M49" i="2" s="1"/>
  <c r="L51" i="2"/>
  <c r="M51" i="2" s="1"/>
  <c r="L53" i="2"/>
  <c r="M53" i="2" s="1"/>
  <c r="L55" i="2"/>
  <c r="M55" i="2" s="1"/>
  <c r="L59" i="2"/>
  <c r="M59" i="2" s="1"/>
  <c r="L61" i="2"/>
  <c r="M61" i="2" s="1"/>
  <c r="L63" i="2"/>
  <c r="M63" i="2" s="1"/>
  <c r="L65" i="2"/>
  <c r="L69" i="2"/>
  <c r="M69" i="2" s="1"/>
  <c r="L74" i="2"/>
  <c r="M74" i="2" s="1"/>
  <c r="L79" i="2"/>
  <c r="M79" i="2" s="1"/>
  <c r="L82" i="2"/>
  <c r="L88" i="2"/>
  <c r="L98" i="2"/>
  <c r="M98" i="2" s="1"/>
  <c r="L100" i="2"/>
  <c r="L102" i="2"/>
  <c r="M102" i="2" s="1"/>
  <c r="L104" i="2"/>
  <c r="M104" i="2" s="1"/>
  <c r="L106" i="2"/>
  <c r="L108" i="2"/>
  <c r="M108" i="2" s="1"/>
  <c r="L110" i="2"/>
  <c r="L113" i="2"/>
  <c r="M113" i="2" s="1"/>
  <c r="L115" i="2"/>
  <c r="M115" i="2" s="1"/>
  <c r="L119" i="2"/>
  <c r="M119" i="2" s="1"/>
  <c r="L121" i="2"/>
  <c r="M121" i="2" s="1"/>
  <c r="L123" i="2"/>
  <c r="M123" i="2" s="1"/>
  <c r="L125" i="2"/>
  <c r="L128" i="2"/>
  <c r="M128" i="2" s="1"/>
  <c r="L130" i="2"/>
  <c r="M130" i="2" s="1"/>
  <c r="M129" i="2" s="1"/>
  <c r="L132" i="2"/>
  <c r="L135" i="2"/>
  <c r="L137" i="2"/>
  <c r="L141" i="2"/>
  <c r="L145" i="2"/>
  <c r="L149" i="2"/>
  <c r="L154" i="2"/>
  <c r="L156" i="2"/>
  <c r="M156" i="2" s="1"/>
  <c r="L160" i="2"/>
  <c r="M160" i="2" s="1"/>
  <c r="L164" i="2"/>
  <c r="M164" i="2" s="1"/>
  <c r="L166" i="2"/>
  <c r="M166" i="2" s="1"/>
  <c r="L168" i="2"/>
  <c r="L170" i="2"/>
  <c r="M170" i="2" s="1"/>
  <c r="L172" i="2"/>
  <c r="M172" i="2" s="1"/>
  <c r="L175" i="2"/>
  <c r="M175" i="2" s="1"/>
  <c r="L177" i="2"/>
  <c r="L179" i="2"/>
  <c r="M179" i="2" s="1"/>
  <c r="L182" i="2"/>
  <c r="M182" i="2" s="1"/>
  <c r="L184" i="2"/>
  <c r="M184" i="2" s="1"/>
  <c r="L187" i="2"/>
  <c r="M187" i="2" s="1"/>
  <c r="L189" i="2"/>
  <c r="L191" i="2"/>
  <c r="M191" i="2" s="1"/>
  <c r="L194" i="2"/>
  <c r="M194" i="2" s="1"/>
  <c r="L196" i="2"/>
  <c r="L198" i="2"/>
  <c r="L203" i="2"/>
  <c r="M203" i="2" s="1"/>
  <c r="L206" i="2"/>
  <c r="M206" i="2" s="1"/>
  <c r="L210" i="2"/>
  <c r="L215" i="2"/>
  <c r="M215" i="2" s="1"/>
  <c r="L218" i="2"/>
  <c r="M218" i="2" s="1"/>
  <c r="L222" i="2"/>
  <c r="M222" i="2" s="1"/>
  <c r="L224" i="2"/>
  <c r="M224" i="2" s="1"/>
  <c r="L133" i="2"/>
  <c r="M133" i="2" s="1"/>
  <c r="K134" i="2"/>
  <c r="I134" i="2"/>
  <c r="I174" i="2"/>
  <c r="L174" i="2" s="1"/>
  <c r="M174" i="2" s="1"/>
  <c r="I180" i="2"/>
  <c r="L180" i="2" s="1"/>
  <c r="M180" i="2" s="1"/>
  <c r="I186" i="2"/>
  <c r="L186" i="2" s="1"/>
  <c r="M186" i="2" s="1"/>
  <c r="I192" i="2"/>
  <c r="L192" i="2" s="1"/>
  <c r="M192" i="2" s="1"/>
  <c r="K201" i="2"/>
  <c r="L201" i="2" s="1"/>
  <c r="M201" i="2" s="1"/>
  <c r="K207" i="2"/>
  <c r="L207" i="2" s="1"/>
  <c r="M207" i="2" s="1"/>
  <c r="K213" i="2"/>
  <c r="L213" i="2" s="1"/>
  <c r="M213" i="2" s="1"/>
  <c r="K219" i="2"/>
  <c r="L219" i="2" s="1"/>
  <c r="M219" i="2" s="1"/>
  <c r="I139" i="2"/>
  <c r="G142" i="2"/>
  <c r="G143" i="2" s="1"/>
  <c r="I143" i="2" s="1"/>
  <c r="G146" i="2"/>
  <c r="G147" i="2" s="1"/>
  <c r="I147" i="2" s="1"/>
  <c r="G72" i="2"/>
  <c r="G73" i="2"/>
  <c r="G75" i="2"/>
  <c r="G77" i="2"/>
  <c r="G78" i="2"/>
  <c r="G80" i="2"/>
  <c r="I15" i="2"/>
  <c r="L233" i="2"/>
  <c r="M233" i="2" s="1"/>
  <c r="M226" i="2" s="1"/>
  <c r="I235" i="2"/>
  <c r="J5" i="2"/>
  <c r="J36" i="2" l="1"/>
  <c r="J35" i="2"/>
  <c r="P5" i="2"/>
  <c r="J29" i="2" s="1"/>
  <c r="J34" i="2"/>
  <c r="J33" i="2"/>
  <c r="J37" i="2"/>
  <c r="M40" i="2"/>
  <c r="M39" i="2" s="1"/>
  <c r="M26" i="2"/>
  <c r="M120" i="2"/>
  <c r="K147" i="2"/>
  <c r="L147" i="2" s="1"/>
  <c r="M147" i="2" s="1"/>
  <c r="K143" i="2"/>
  <c r="L143" i="2" s="1"/>
  <c r="M143" i="2" s="1"/>
  <c r="K139" i="2"/>
  <c r="L139" i="2" s="1"/>
  <c r="M139" i="2" s="1"/>
  <c r="M103" i="2"/>
  <c r="M60" i="2"/>
  <c r="M46" i="2"/>
  <c r="M171" i="2"/>
  <c r="M126" i="2"/>
  <c r="M125" i="2" s="1"/>
  <c r="M116" i="2"/>
  <c r="M52" i="2"/>
  <c r="M189" i="2"/>
  <c r="M183" i="2"/>
  <c r="M177" i="2"/>
  <c r="M154" i="2"/>
  <c r="M106" i="2"/>
  <c r="L134" i="2"/>
  <c r="M134" i="2" s="1"/>
  <c r="T6" i="2"/>
  <c r="K220" i="2"/>
  <c r="I220" i="2"/>
  <c r="I205" i="2"/>
  <c r="K205" i="2"/>
  <c r="I199" i="2"/>
  <c r="K199" i="2"/>
  <c r="K162" i="2"/>
  <c r="I162" i="2"/>
  <c r="K97" i="2"/>
  <c r="I97" i="2"/>
  <c r="K95" i="2"/>
  <c r="I95" i="2"/>
  <c r="I92" i="2"/>
  <c r="K92" i="2"/>
  <c r="I90" i="2"/>
  <c r="K90" i="2"/>
  <c r="K87" i="2"/>
  <c r="I87" i="2"/>
  <c r="K85" i="2"/>
  <c r="I85" i="2"/>
  <c r="I80" i="2"/>
  <c r="K80" i="2"/>
  <c r="K77" i="2"/>
  <c r="I77" i="2"/>
  <c r="K73" i="2"/>
  <c r="I73" i="2"/>
  <c r="I70" i="2"/>
  <c r="K70" i="2"/>
  <c r="K67" i="2"/>
  <c r="I67" i="2"/>
  <c r="I142" i="2"/>
  <c r="K142" i="2"/>
  <c r="I217" i="2"/>
  <c r="K217" i="2"/>
  <c r="K214" i="2"/>
  <c r="I214" i="2"/>
  <c r="I211" i="2"/>
  <c r="K211" i="2"/>
  <c r="K208" i="2"/>
  <c r="I208" i="2"/>
  <c r="K202" i="2"/>
  <c r="I202" i="2"/>
  <c r="I112" i="2"/>
  <c r="K112" i="2"/>
  <c r="I96" i="2"/>
  <c r="K96" i="2"/>
  <c r="I94" i="2"/>
  <c r="K94" i="2"/>
  <c r="K91" i="2"/>
  <c r="I91" i="2"/>
  <c r="K89" i="2"/>
  <c r="I89" i="2"/>
  <c r="I86" i="2"/>
  <c r="K86" i="2"/>
  <c r="I84" i="2"/>
  <c r="K84" i="2"/>
  <c r="I78" i="2"/>
  <c r="K78" i="2"/>
  <c r="K75" i="2"/>
  <c r="I75" i="2"/>
  <c r="I72" i="2"/>
  <c r="K72" i="2"/>
  <c r="I68" i="2"/>
  <c r="K68" i="2"/>
  <c r="I146" i="2"/>
  <c r="K146" i="2"/>
  <c r="I138" i="2"/>
  <c r="K138" i="2"/>
  <c r="L15" i="2"/>
  <c r="H16" i="2" l="1"/>
  <c r="H35" i="2"/>
  <c r="H34" i="2"/>
  <c r="H37" i="2"/>
  <c r="H33" i="2"/>
  <c r="H36" i="2"/>
  <c r="H32" i="2"/>
  <c r="L146" i="2"/>
  <c r="M146" i="2" s="1"/>
  <c r="M145" i="2" s="1"/>
  <c r="L68" i="2"/>
  <c r="M68" i="2" s="1"/>
  <c r="M169" i="2"/>
  <c r="L72" i="2"/>
  <c r="M72" i="2" s="1"/>
  <c r="L78" i="2"/>
  <c r="M78" i="2" s="1"/>
  <c r="L84" i="2"/>
  <c r="M84" i="2" s="1"/>
  <c r="L86" i="2"/>
  <c r="M86" i="2" s="1"/>
  <c r="L94" i="2"/>
  <c r="M94" i="2" s="1"/>
  <c r="L96" i="2"/>
  <c r="M96" i="2" s="1"/>
  <c r="L112" i="2"/>
  <c r="M112" i="2" s="1"/>
  <c r="M110" i="2" s="1"/>
  <c r="M100" i="2" s="1"/>
  <c r="L211" i="2"/>
  <c r="M211" i="2" s="1"/>
  <c r="L217" i="2"/>
  <c r="M217" i="2" s="1"/>
  <c r="L142" i="2"/>
  <c r="M142" i="2" s="1"/>
  <c r="M141" i="2" s="1"/>
  <c r="L70" i="2"/>
  <c r="M70" i="2" s="1"/>
  <c r="L80" i="2"/>
  <c r="M80" i="2" s="1"/>
  <c r="L90" i="2"/>
  <c r="M90" i="2" s="1"/>
  <c r="L92" i="2"/>
  <c r="M92" i="2" s="1"/>
  <c r="L199" i="2"/>
  <c r="M199" i="2" s="1"/>
  <c r="M132" i="2"/>
  <c r="L138" i="2"/>
  <c r="M138" i="2" s="1"/>
  <c r="M137" i="2" s="1"/>
  <c r="L205" i="2"/>
  <c r="M205" i="2" s="1"/>
  <c r="L75" i="2"/>
  <c r="M75" i="2" s="1"/>
  <c r="L89" i="2"/>
  <c r="M89" i="2" s="1"/>
  <c r="L91" i="2"/>
  <c r="M91" i="2" s="1"/>
  <c r="L202" i="2"/>
  <c r="M202" i="2" s="1"/>
  <c r="L208" i="2"/>
  <c r="M208" i="2" s="1"/>
  <c r="L214" i="2"/>
  <c r="M214" i="2" s="1"/>
  <c r="L67" i="2"/>
  <c r="M67" i="2" s="1"/>
  <c r="L73" i="2"/>
  <c r="M73" i="2" s="1"/>
  <c r="L77" i="2"/>
  <c r="M77" i="2" s="1"/>
  <c r="L85" i="2"/>
  <c r="M85" i="2" s="1"/>
  <c r="L87" i="2"/>
  <c r="M87" i="2" s="1"/>
  <c r="L95" i="2"/>
  <c r="M95" i="2" s="1"/>
  <c r="L97" i="2"/>
  <c r="M97" i="2" s="1"/>
  <c r="L162" i="2"/>
  <c r="M162" i="2" s="1"/>
  <c r="L220" i="2"/>
  <c r="M220" i="2" s="1"/>
  <c r="M135" i="2" l="1"/>
  <c r="M76" i="2"/>
  <c r="M216" i="2"/>
  <c r="M198" i="2"/>
  <c r="M66" i="2"/>
  <c r="M161" i="2"/>
  <c r="M153" i="2" s="1"/>
  <c r="M93" i="2"/>
  <c r="M83" i="2"/>
  <c r="M71" i="2"/>
  <c r="M210" i="2"/>
  <c r="M88" i="2"/>
  <c r="M204" i="2"/>
  <c r="I52" i="2"/>
  <c r="M65" i="2" l="1"/>
  <c r="M196" i="2"/>
  <c r="M168" i="2" s="1"/>
  <c r="M149" i="2" s="1"/>
  <c r="M82" i="2"/>
  <c r="L52" i="2"/>
  <c r="G25" i="2"/>
  <c r="M64" i="2" l="1"/>
  <c r="H29" i="2"/>
  <c r="I29" i="2" s="1"/>
  <c r="H38" i="2"/>
  <c r="I34" i="2"/>
  <c r="K32" i="2"/>
  <c r="K37" i="2"/>
  <c r="K35" i="2"/>
  <c r="K33" i="2"/>
  <c r="K36" i="2"/>
  <c r="K25" i="2"/>
  <c r="I25" i="2"/>
  <c r="J18" i="2"/>
  <c r="K18" i="2" s="1"/>
  <c r="H18" i="2"/>
  <c r="J16" i="2"/>
  <c r="K16" i="2" s="1"/>
  <c r="K20" i="2" s="1"/>
  <c r="J17" i="2"/>
  <c r="K17" i="2" s="1"/>
  <c r="H17" i="2"/>
  <c r="K34" i="2" l="1"/>
  <c r="L34" i="2" s="1"/>
  <c r="M34" i="2" s="1"/>
  <c r="I35" i="2"/>
  <c r="L35" i="2" s="1"/>
  <c r="M35" i="2" s="1"/>
  <c r="I36" i="2"/>
  <c r="L36" i="2" s="1"/>
  <c r="M36" i="2" s="1"/>
  <c r="I37" i="2"/>
  <c r="L37" i="2" s="1"/>
  <c r="M37" i="2" s="1"/>
  <c r="I33" i="2"/>
  <c r="L33" i="2" s="1"/>
  <c r="M33" i="2" s="1"/>
  <c r="I38" i="2"/>
  <c r="K38" i="2"/>
  <c r="L25" i="2"/>
  <c r="M25" i="2" s="1"/>
  <c r="K29" i="2"/>
  <c r="I18" i="2"/>
  <c r="L18" i="2" s="1"/>
  <c r="M18" i="2" s="1"/>
  <c r="I17" i="2"/>
  <c r="L29" i="2" l="1"/>
  <c r="M29" i="2" s="1"/>
  <c r="L38" i="2"/>
  <c r="M38" i="2" s="1"/>
  <c r="L17" i="2"/>
  <c r="M17" i="2" s="1"/>
  <c r="I16" i="2" l="1"/>
  <c r="I20" i="2" s="1"/>
  <c r="L16" i="2" l="1"/>
  <c r="L20" i="2" s="1"/>
  <c r="I32" i="2"/>
  <c r="M20" i="2" l="1"/>
  <c r="M16" i="2"/>
  <c r="L32" i="2"/>
  <c r="G22" i="2"/>
  <c r="G24" i="2"/>
  <c r="H24" i="2" l="1"/>
  <c r="H22" i="2"/>
  <c r="I22" i="2" s="1"/>
  <c r="J24" i="2"/>
  <c r="K24" i="2" s="1"/>
  <c r="J22" i="2"/>
  <c r="M32" i="2"/>
  <c r="K22" i="2" l="1"/>
  <c r="K234" i="2" s="1"/>
  <c r="K236" i="2" s="1"/>
  <c r="I24" i="2"/>
  <c r="L24" i="2" s="1"/>
  <c r="M24" i="2" s="1"/>
  <c r="L22" i="2" l="1"/>
  <c r="I234" i="2"/>
  <c r="I236" i="2" s="1"/>
  <c r="M22" i="2" l="1"/>
  <c r="L234" i="2"/>
  <c r="L236" i="2" s="1"/>
  <c r="M234" i="2" l="1"/>
  <c r="L237" i="2"/>
  <c r="L238" i="2" s="1"/>
  <c r="M236" i="2"/>
  <c r="M238" i="2" l="1"/>
  <c r="M237" i="2"/>
</calcChain>
</file>

<file path=xl/comments1.xml><?xml version="1.0" encoding="utf-8"?>
<comments xmlns="http://schemas.openxmlformats.org/spreadsheetml/2006/main">
  <authors>
    <author>jdeweerd</author>
  </authors>
  <commentList>
    <comment ref="D16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</t>
        </r>
      </text>
    </comment>
    <comment ref="D17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 ou mettre 0 si pas d'application</t>
        </r>
      </text>
    </comment>
    <comment ref="D18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 ou mettre 0 si pas d'application</t>
        </r>
      </text>
    </comment>
    <comment ref="D33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</t>
        </r>
      </text>
    </comment>
    <comment ref="D34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</t>
        </r>
      </text>
    </comment>
    <comment ref="D37" authorId="0">
      <text>
        <r>
          <rPr>
            <b/>
            <sz val="8"/>
            <color indexed="81"/>
            <rFont val="Tahoma"/>
            <charset val="1"/>
          </rPr>
          <t>Adapter le prix unitaire si les coûts sont mieux connus</t>
        </r>
      </text>
    </comment>
    <comment ref="D38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45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50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59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63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81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99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124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131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135" authorId="0">
      <text>
        <r>
          <rPr>
            <sz val="8"/>
            <color indexed="81"/>
            <rFont val="Tahoma"/>
            <family val="2"/>
          </rPr>
          <t>non-dissociable:  partie de pollution qui ne peut être excavée séparément
dissociable: partie de pollution qui peut être excavée séparément</t>
        </r>
      </text>
    </comment>
    <comment ref="D150" authorId="0">
      <text>
        <r>
          <rPr>
            <b/>
            <sz val="8"/>
            <color indexed="81"/>
            <rFont val="Tahoma"/>
            <family val="2"/>
          </rPr>
          <t>ceci concerne les clôtures autour des installations hors-sol, alarmes et déplacements pour petites interventions</t>
        </r>
      </text>
    </comment>
    <comment ref="D160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167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195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23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27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28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29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30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31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  <comment ref="D232" authorId="0">
      <text>
        <r>
          <rPr>
            <b/>
            <sz val="8"/>
            <color indexed="81"/>
            <rFont val="Tahoma"/>
            <family val="2"/>
          </rPr>
          <t>Adapter la description, mentionner le prix unitaire si d'application</t>
        </r>
      </text>
    </comment>
  </commentList>
</comments>
</file>

<file path=xl/sharedStrings.xml><?xml version="1.0" encoding="utf-8"?>
<sst xmlns="http://schemas.openxmlformats.org/spreadsheetml/2006/main" count="859" uniqueCount="384">
  <si>
    <t xml:space="preserve">Raming saneringskost   </t>
  </si>
  <si>
    <t>Omschrijving</t>
  </si>
  <si>
    <t>Aantal</t>
  </si>
  <si>
    <t>Eénh.</t>
  </si>
  <si>
    <t>m³</t>
  </si>
  <si>
    <t>m</t>
  </si>
  <si>
    <t>m²</t>
  </si>
  <si>
    <t>wk</t>
  </si>
  <si>
    <t>Veiligheidscoördinatie</t>
  </si>
  <si>
    <t>Post</t>
  </si>
  <si>
    <t>BOFAS nummer :</t>
  </si>
  <si>
    <t>Datum kostenraming :</t>
  </si>
  <si>
    <t>BSP</t>
  </si>
  <si>
    <t>Saneringswerken</t>
  </si>
  <si>
    <t>Bodemsaneringsdeskundige begeleiding</t>
  </si>
  <si>
    <t>Algemene aanneming</t>
  </si>
  <si>
    <t>werfinrichting</t>
  </si>
  <si>
    <t>bemaling bij grondwerken</t>
  </si>
  <si>
    <t>grondwaterzuivering bij grondwerken</t>
  </si>
  <si>
    <t>andere algemene aannemingskosten</t>
  </si>
  <si>
    <t>Transport verontreinigde grond</t>
  </si>
  <si>
    <t>Ex-situ grondverwerking</t>
  </si>
  <si>
    <t>biologische reiniging</t>
  </si>
  <si>
    <t>fysisco-chemische reiniging</t>
  </si>
  <si>
    <t>thermische reiniging</t>
  </si>
  <si>
    <t>andere grondverwerking/storten,…</t>
  </si>
  <si>
    <t>In-situ (incl. benodigde infrastructuur en verbruik)</t>
  </si>
  <si>
    <t>mob/demob</t>
  </si>
  <si>
    <t>huur + verbruik</t>
  </si>
  <si>
    <t>gestimuleerde natuurlijke attenuatie</t>
  </si>
  <si>
    <t>andere in-situ werken</t>
  </si>
  <si>
    <t>ff</t>
  </si>
  <si>
    <t>ton</t>
  </si>
  <si>
    <t>st</t>
  </si>
  <si>
    <t>Leidingwerk</t>
  </si>
  <si>
    <t>Referentieprijs</t>
  </si>
  <si>
    <t>Opmaak vergunningsaanvraag (BXL)</t>
  </si>
  <si>
    <t>1500 + 10% AA+Trans+Ex-situ</t>
  </si>
  <si>
    <t>1000 + 3% AA</t>
  </si>
  <si>
    <t>BOFAS vreemd</t>
  </si>
  <si>
    <t>bodemluchtextractie/injectie/airsparging</t>
  </si>
  <si>
    <t>Naam station :</t>
  </si>
  <si>
    <t>EP
(€)</t>
  </si>
  <si>
    <t>Plaatsbeschrijving openbaar terrein</t>
  </si>
  <si>
    <t>Plaatsbeschrijving omliggende gebouwen</t>
  </si>
  <si>
    <t>lm</t>
  </si>
  <si>
    <t>m3</t>
  </si>
  <si>
    <t>kg</t>
  </si>
  <si>
    <t>Opbraak ondergrondse massieven in metselwerk</t>
  </si>
  <si>
    <t>Opbraak ondergrondse massieven in beton</t>
  </si>
  <si>
    <t>Open-put bemaling</t>
  </si>
  <si>
    <t>DRIJFLAAGSANERING</t>
  </si>
  <si>
    <t>Afvoer en verwerking onttrokken product</t>
  </si>
  <si>
    <t>Isoleren restverontreiniging (HDPE-folie 0,4 mm)</t>
  </si>
  <si>
    <t>HERSTELLINGSWERKEN</t>
  </si>
  <si>
    <t>Waterzijdig aktief koolfilter</t>
  </si>
  <si>
    <t>Mob/demob boormachine</t>
  </si>
  <si>
    <t>Horizontale boringen (incl. drains)</t>
  </si>
  <si>
    <t>Opstelkosten per boring</t>
  </si>
  <si>
    <t>Boring en plaatsing drain 125/80</t>
  </si>
  <si>
    <t>Uitvoeren van betonkernboringen</t>
  </si>
  <si>
    <t>dag</t>
  </si>
  <si>
    <t>Totaal
(€)</t>
  </si>
  <si>
    <t>Andere</t>
  </si>
  <si>
    <t>Herstel verhardingen</t>
  </si>
  <si>
    <t>KWS</t>
  </si>
  <si>
    <t>filter 2" - incl. grind, boorgat 210mm</t>
  </si>
  <si>
    <t>filter 6" - incl. grind, boorgat 300mm</t>
  </si>
  <si>
    <t>ondergrondse in-situ voorzieningen</t>
  </si>
  <si>
    <t>Vervangen aktief kool</t>
  </si>
  <si>
    <t>Dompelpompen</t>
  </si>
  <si>
    <t>Bovengrondse pomp</t>
  </si>
  <si>
    <t>0</t>
  </si>
  <si>
    <t>Onttrekkingsdrain (HDPE, diam. 110 mm), incl. grind</t>
  </si>
  <si>
    <t>Pompputten en doorspuitputten</t>
  </si>
  <si>
    <t>Filters (incl boring)</t>
  </si>
  <si>
    <t xml:space="preserve"> pompput (HDPE, diam. 400 mm)</t>
  </si>
  <si>
    <t xml:space="preserve"> doorspuitput (HDPE, diam. 110 mm)</t>
  </si>
  <si>
    <t>toezichtsputtenputten</t>
  </si>
  <si>
    <t>trekleiding elektra (PVC, diam. 110), incl. trekdraad</t>
  </si>
  <si>
    <t>centrale verzamelput, incl. deksel</t>
  </si>
  <si>
    <t>afbraakwerken</t>
  </si>
  <si>
    <t>milieukundige begeleiding en rapp. bij alg.aanneming</t>
  </si>
  <si>
    <t>milieukundige begeleiding en rapp. bij in-situ</t>
  </si>
  <si>
    <t>uitvoeren van eindonderzoek</t>
  </si>
  <si>
    <t>pump &amp; treat</t>
  </si>
  <si>
    <t>Werfkeet, sanitaire voorzieningen, ABR,…</t>
  </si>
  <si>
    <t>grondwerken (excl grondwerk tanks)</t>
  </si>
  <si>
    <t>Totaal BSP</t>
  </si>
  <si>
    <t>Globaal Totaal</t>
  </si>
  <si>
    <t>Totaal BSW</t>
  </si>
  <si>
    <t xml:space="preserve">Onvoorzien : </t>
  </si>
  <si>
    <t>%BOFAS vreemd :</t>
  </si>
  <si>
    <t>Opbraak verhardingen incl. fundering en zaagsneden</t>
  </si>
  <si>
    <r>
      <t xml:space="preserve">Installatie tot </t>
    </r>
    <r>
      <rPr>
        <b/>
        <i/>
        <sz val="8"/>
        <rFont val="Arial"/>
        <family val="2"/>
      </rPr>
      <t xml:space="preserve">40 </t>
    </r>
    <r>
      <rPr>
        <i/>
        <sz val="8"/>
        <rFont val="Arial"/>
        <family val="2"/>
      </rPr>
      <t>m³/uur</t>
    </r>
  </si>
  <si>
    <r>
      <t xml:space="preserve">Installatie tot </t>
    </r>
    <r>
      <rPr>
        <b/>
        <i/>
        <sz val="8"/>
        <rFont val="Arial"/>
        <family val="2"/>
      </rPr>
      <t>20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</si>
  <si>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 xml:space="preserve">10 </t>
    </r>
    <r>
      <rPr>
        <i/>
        <sz val="8"/>
        <rFont val="Arial"/>
        <family val="2"/>
      </rPr>
      <t>m³/uur</t>
    </r>
  </si>
  <si>
    <r>
      <t xml:space="preserve">Installatie tot </t>
    </r>
    <r>
      <rPr>
        <b/>
        <i/>
        <sz val="8"/>
        <rFont val="Arial"/>
        <family val="2"/>
      </rPr>
      <t>40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</si>
  <si>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>10</t>
    </r>
    <r>
      <rPr>
        <i/>
        <sz val="8"/>
        <rFont val="Arial"/>
        <family val="2"/>
      </rPr>
      <t xml:space="preserve"> m³/uur</t>
    </r>
  </si>
  <si>
    <r>
      <t xml:space="preserve">installatie tot </t>
    </r>
    <r>
      <rPr>
        <b/>
        <i/>
        <sz val="8"/>
        <rFont val="Arial"/>
        <family val="2"/>
      </rPr>
      <t>20</t>
    </r>
    <r>
      <rPr>
        <i/>
        <sz val="8"/>
        <rFont val="Arial"/>
        <family val="2"/>
      </rPr>
      <t xml:space="preserve"> m³/uur</t>
    </r>
  </si>
  <si>
    <t>Opstelkosten per boring incl aansluitingen filters</t>
  </si>
  <si>
    <r>
      <t xml:space="preserve">Installatie tot </t>
    </r>
    <r>
      <rPr>
        <b/>
        <i/>
        <sz val="8"/>
        <rFont val="Arial"/>
        <family val="2"/>
      </rPr>
      <t>5</t>
    </r>
    <r>
      <rPr>
        <i/>
        <sz val="8"/>
        <rFont val="Arial"/>
        <family val="2"/>
      </rPr>
      <t xml:space="preserve"> m³/uur</t>
    </r>
  </si>
  <si>
    <t>Grondmechanisch onderzoek</t>
  </si>
  <si>
    <t>technisch niet afsplitsbaar vreemd</t>
  </si>
  <si>
    <t>plaatsen peilbuizen</t>
  </si>
  <si>
    <t>monitoring en rapp.</t>
  </si>
  <si>
    <t>Neutraliseren tanks incl vrijgraven en aanvullen</t>
  </si>
  <si>
    <t>Verwijderen tanks incl. ballastplaat</t>
  </si>
  <si>
    <t>Mob/demob zuigwagen</t>
  </si>
  <si>
    <t>Ontijzeringsinstallatie (zandfilter aut. spoelbaar)</t>
  </si>
  <si>
    <t>Ontijzeringsinstallatie (zandfilter handm spoelbaar)</t>
  </si>
  <si>
    <t>huur + verbruik (weekprijzen zijn vermeld)</t>
  </si>
  <si>
    <t>Nom station :</t>
  </si>
  <si>
    <t>Date estimation des coûts :</t>
  </si>
  <si>
    <t>Description</t>
  </si>
  <si>
    <t>Echantillonnage</t>
  </si>
  <si>
    <t>Etude de stabilité</t>
  </si>
  <si>
    <t>Total PA</t>
  </si>
  <si>
    <t>Travaux d'assainissement</t>
  </si>
  <si>
    <t>Suivi environnemental et rapport pour travaux in situ</t>
  </si>
  <si>
    <t>Monitoring en rapports</t>
  </si>
  <si>
    <t>Réalisation de l'étude finale</t>
  </si>
  <si>
    <t>Entreprise générale</t>
  </si>
  <si>
    <t>Installation électrique de chantier</t>
  </si>
  <si>
    <t>Autres</t>
  </si>
  <si>
    <t>Travaux de démolition</t>
  </si>
  <si>
    <t>Enlèvement citernes, dalle de lestage incluse</t>
  </si>
  <si>
    <t>Rabattement pour les travaux de terrassement</t>
  </si>
  <si>
    <t>Epuration des eaux souterraines durant les travaux de terrassement</t>
  </si>
  <si>
    <t>Mob/démob</t>
  </si>
  <si>
    <t>Séparateur d'hydrocarbures</t>
  </si>
  <si>
    <t>Location + utilisation</t>
  </si>
  <si>
    <t>Installations in situ souterraines</t>
  </si>
  <si>
    <t>Puits de pompage et puits de purge</t>
  </si>
  <si>
    <t>Puits de pompage (HDPE, diam. 400 mm)</t>
  </si>
  <si>
    <t>Puits de purge (HDPE, diam. 110 mm)</t>
  </si>
  <si>
    <t>Forages horizontaux (drains inclus)</t>
  </si>
  <si>
    <t>Mob/démob machine de forage</t>
  </si>
  <si>
    <t>Coûts de mise en oeuvre par forage</t>
  </si>
  <si>
    <t>Forage et placement drain 125/80</t>
  </si>
  <si>
    <t>Coûts de mise en oeuvre par forage, connexions filtres incluses</t>
  </si>
  <si>
    <t>Filtre 2'' - gravier inclus, forage 210 mm</t>
  </si>
  <si>
    <t>Filtre 6'' - gravier inclus, forage 300 mm</t>
  </si>
  <si>
    <t>Réalisation de forage béton</t>
  </si>
  <si>
    <t>Chambres de visites</t>
  </si>
  <si>
    <t>Chambre de collecte centrale, couvercle inclus</t>
  </si>
  <si>
    <t>Conduites</t>
  </si>
  <si>
    <t>Conduite d'évacuation (HDPE, diam. 110)</t>
  </si>
  <si>
    <t>Autres travaux d'entreprise générale</t>
  </si>
  <si>
    <t>ASSAINISSEMENT DE COUCHE SURNAGEANTE</t>
  </si>
  <si>
    <t>TRAVAUX DE REMISE EN ETAT</t>
  </si>
  <si>
    <t>Transport terres contaminées</t>
  </si>
  <si>
    <t>Traitement de terre Ex Situ</t>
  </si>
  <si>
    <t>Traitement biologique</t>
  </si>
  <si>
    <t>Traitement physico-chimique</t>
  </si>
  <si>
    <t>Traitement thermique</t>
  </si>
  <si>
    <t>Autres traitements / décharge</t>
  </si>
  <si>
    <t>Extraction de l'air du sol/injection/airsparging</t>
  </si>
  <si>
    <t>Test de pompage</t>
  </si>
  <si>
    <t>Pompes immergées</t>
  </si>
  <si>
    <t>Pompe aérienne</t>
  </si>
  <si>
    <t>Atténuation naturelle stimulée</t>
  </si>
  <si>
    <t>Autres travaux in situ</t>
  </si>
  <si>
    <t>Total travaux d'assainissement (TA)</t>
  </si>
  <si>
    <t>Total Global</t>
  </si>
  <si>
    <t>Unité</t>
  </si>
  <si>
    <t>pièce</t>
  </si>
  <si>
    <t>Globaal totaal+onvoorzien+BTW (21%)</t>
  </si>
  <si>
    <t>Stripinstallatie (incl. luchtzijdig aktief kool filter)</t>
  </si>
  <si>
    <t>ontmanteling van de ondergrondse brandstofinstallatie</t>
  </si>
  <si>
    <t>bemonsteringsrondes</t>
  </si>
  <si>
    <t>mob/demob systeembeschoeiing</t>
  </si>
  <si>
    <t>plaatsen en verwijderen systeembeschoeiing</t>
  </si>
  <si>
    <t>Excavation en tranches (incl. terres de remblai)</t>
  </si>
  <si>
    <t>ontgraven in moten (incl. aanvulgrond)</t>
  </si>
  <si>
    <t>stabiliteitsmaatregelen (per m² of m te beschoeiien wand)</t>
  </si>
  <si>
    <t>BOFAS EIGEN</t>
  </si>
  <si>
    <t>500 + 40% IS</t>
  </si>
  <si>
    <t>technisch afsplitsbaar</t>
  </si>
  <si>
    <t>technisch niet afsplitsbaar eigen</t>
  </si>
  <si>
    <t>km</t>
  </si>
  <si>
    <t>Transport</t>
  </si>
  <si>
    <t>Clôture du chantier (10€/m)</t>
  </si>
  <si>
    <t>Uitgangspunten tankstation uitbatingsvreemd:</t>
  </si>
  <si>
    <t>Uitgangspunten raming :</t>
  </si>
  <si>
    <t>Opvragen nutsleidingen, maatregelen huisaansluitingen</t>
  </si>
  <si>
    <t>Andere (bvb. signalisatie, zettingsmetingen, …)</t>
  </si>
  <si>
    <t>Afbraak gebouw incl. afvoer (bruto volume)</t>
  </si>
  <si>
    <t>Afbraak kelder incl. afvoer (bruto volume)</t>
  </si>
  <si>
    <t>Stripinstallatie (incl. 1° vulling aktief kool)</t>
  </si>
  <si>
    <t>Waterzijdig aktief koolfilter (incl. 1° vulling actief kool)</t>
  </si>
  <si>
    <t>Numéro BOFAS :</t>
  </si>
  <si>
    <t>PU
(€)</t>
  </si>
  <si>
    <t>Qté</t>
  </si>
  <si>
    <t>Total
(€)</t>
  </si>
  <si>
    <t>Tot.Glob
(€)</t>
  </si>
  <si>
    <t>Geraamd door/estimé par :</t>
  </si>
  <si>
    <t>Etranger à BOFAS</t>
  </si>
  <si>
    <t>Regio/Région :</t>
  </si>
  <si>
    <t>Ontijzeringsinstallatie (zandfilter aut spoelbaar)</t>
  </si>
  <si>
    <t>vervangen AK + interventie</t>
  </si>
  <si>
    <t>Blower BLE (ca. 150 Nm³/u)</t>
  </si>
  <si>
    <t>AK-filter 200l (incl. 1°vulling)</t>
  </si>
  <si>
    <t>AK-filter 1250l (incl. 1°vulling)</t>
  </si>
  <si>
    <t>AK-filter 200l</t>
  </si>
  <si>
    <t>AK-filter 1250l</t>
  </si>
  <si>
    <t>6.1</t>
  </si>
  <si>
    <t>6.2</t>
  </si>
  <si>
    <t>6.3</t>
  </si>
  <si>
    <t>leiding (HDPE, diam. 110)</t>
  </si>
  <si>
    <t>leiding (HDPE, diam. 40)</t>
  </si>
  <si>
    <t xml:space="preserve">Zuigwagen + 2 x 2 uur afpompen drijflaag </t>
  </si>
  <si>
    <t>Geotextiel, zand-cent+ klinkers + beetje borduren, regengoten e.d.</t>
  </si>
  <si>
    <t>Afstand over de weg in km (EP transport ifv afstand!!!)</t>
  </si>
  <si>
    <t>gebasserd op 5 m lengte</t>
  </si>
  <si>
    <t>Werfkast elec (excl. verbruik)</t>
  </si>
  <si>
    <t>Stroomgroep + mazout Of coördinatie; werfkast + kosten maatschappij</t>
  </si>
  <si>
    <t>Beperkte korting in rekening gebracht</t>
  </si>
  <si>
    <t>inclusief coördinatie nutsmaatschappijen</t>
  </si>
  <si>
    <t>40% klinkerss, 30% asfalt, 30% beton + zaagsneden</t>
  </si>
  <si>
    <t>zie ook terugbetalingskost</t>
  </si>
  <si>
    <t>toezichtkamer vulpunt + brandstofleidngen + zuigwagen</t>
  </si>
  <si>
    <t>Vaste kosten (mob/demob zuigwagen, verwijderen leidingen e.d)</t>
  </si>
  <si>
    <t>5 m³</t>
  </si>
  <si>
    <t>13 m³</t>
  </si>
  <si>
    <t>30 m³</t>
  </si>
  <si>
    <t>door lineaire regressie</t>
  </si>
  <si>
    <t>Gebaseerd op 3,5 diepte</t>
  </si>
  <si>
    <t>ongewijzigd</t>
  </si>
  <si>
    <t>meerprijs leveren gestabiliseerd zand ipv grond</t>
  </si>
  <si>
    <t>mob/demob verbuisd ontgraven</t>
  </si>
  <si>
    <t>verbuisd ontgraven + meerprijs gestabiliseerd zand ipv grond</t>
  </si>
  <si>
    <t>Bronbemaling bouwput (excl spoelbak)</t>
  </si>
  <si>
    <t>Mob/demob boormachine excl. spoelbak</t>
  </si>
  <si>
    <t>BLE test</t>
  </si>
  <si>
    <t>zie IS met uitzondering van zandfilter</t>
  </si>
  <si>
    <t>zie IS, huur +15% vanwege korte termijn met uitz van zandfilter</t>
  </si>
  <si>
    <t>uitgaande van 30% &lt;63µ</t>
  </si>
  <si>
    <t>2,2,1</t>
  </si>
  <si>
    <t>2,2,2</t>
  </si>
  <si>
    <t>2,2,3</t>
  </si>
  <si>
    <t>2,2,3,1</t>
  </si>
  <si>
    <t>2,2,3,2</t>
  </si>
  <si>
    <t>2,3,1</t>
  </si>
  <si>
    <t>2,3,2</t>
  </si>
  <si>
    <t>2,3,3</t>
  </si>
  <si>
    <t>2,3,4</t>
  </si>
  <si>
    <t>2,3,5</t>
  </si>
  <si>
    <t>2,3,6</t>
  </si>
  <si>
    <t>2,3,7</t>
  </si>
  <si>
    <t>2,3,7,1</t>
  </si>
  <si>
    <t>2,3,7,2</t>
  </si>
  <si>
    <t>2,3,9</t>
  </si>
  <si>
    <t>2,3,8</t>
  </si>
  <si>
    <t>2,5,1</t>
  </si>
  <si>
    <t>2,5,2</t>
  </si>
  <si>
    <t>2,5,2,1</t>
  </si>
  <si>
    <t>2,5,2,2</t>
  </si>
  <si>
    <t>2,5,3,1</t>
  </si>
  <si>
    <t>2,5,3,2</t>
  </si>
  <si>
    <t>2,5,4</t>
  </si>
  <si>
    <t>2,5,4,1</t>
  </si>
  <si>
    <t>2,5,3</t>
  </si>
  <si>
    <t>2,5,1,2</t>
  </si>
  <si>
    <t>2,6,1</t>
  </si>
  <si>
    <t>2,6,1,1</t>
  </si>
  <si>
    <t>2,6,1,2</t>
  </si>
  <si>
    <t>2,6,2</t>
  </si>
  <si>
    <t>2,6,2,1</t>
  </si>
  <si>
    <t>2,6,2,2</t>
  </si>
  <si>
    <t>2,6,3</t>
  </si>
  <si>
    <t>2,6,4</t>
  </si>
  <si>
    <t>2,2,4</t>
  </si>
  <si>
    <t>Diversen</t>
  </si>
  <si>
    <t>2,7,1</t>
  </si>
  <si>
    <t>2,7,2</t>
  </si>
  <si>
    <t>2,7,3</t>
  </si>
  <si>
    <t>2,7,4</t>
  </si>
  <si>
    <t>2,7,5</t>
  </si>
  <si>
    <t>2,7,6</t>
  </si>
  <si>
    <t>5 peilbuizen, 1 u, 50 km, MO,BTEXMTBE</t>
  </si>
  <si>
    <t>3 peilbuizen tot 8m, 1u 50 km</t>
  </si>
  <si>
    <t>Tarieven RC EBSD</t>
  </si>
  <si>
    <t>Chambre de visite, couvercle inclus (diam. 400 mm)</t>
  </si>
  <si>
    <t>Chambre de visite, couvercle inclus (diam. 600 mm)</t>
  </si>
  <si>
    <t>toezichtsput, incl. deksel (diam. 400 mm)</t>
  </si>
  <si>
    <t>toezichtsput, incl. deksel (diam. 600 mm)</t>
  </si>
  <si>
    <t>Conduite d'évacuation (HDPE, diam. 40)</t>
  </si>
  <si>
    <t>Blower BLE (ca. 150 m³/u)</t>
  </si>
  <si>
    <t>KATOX (ca. 150 Nm³/u)</t>
  </si>
  <si>
    <t>Divers</t>
  </si>
  <si>
    <t>Opmaak project en bestek</t>
  </si>
  <si>
    <t>Projet d'Assainissement (PA) et cahier des charges (CDC)</t>
  </si>
  <si>
    <t>Globaal totaal+ 15% onvoorzien</t>
  </si>
  <si>
    <t>2,6,0</t>
  </si>
  <si>
    <t>geraamd: uitvoering in combinatie met CT</t>
  </si>
  <si>
    <t>Na opstartfase</t>
  </si>
  <si>
    <t>In opstartfase (eerste 5 weken)</t>
  </si>
  <si>
    <t>algemeen (werfhekken rondom installaties, alarmering, verplaatsingen voor interventies)</t>
  </si>
  <si>
    <t>huur werfhekken + 1,5 kleine interventie per week + huur alarm</t>
  </si>
  <si>
    <t>7 kleine inteventies in opstartfase + alarm + 5weken werfhekken</t>
  </si>
  <si>
    <t>Imprévus</t>
  </si>
  <si>
    <t>% étranger BOFAS</t>
  </si>
  <si>
    <t>Propre à BOFAS</t>
  </si>
  <si>
    <t>Aménagement du chantier</t>
  </si>
  <si>
    <t>Cabine de chantier, équipements sanitaires, …</t>
  </si>
  <si>
    <t>Autres (ex. signalisation, mesures tassement, …)</t>
  </si>
  <si>
    <t>Démantèlement du revètement fondations et découpes inclus</t>
  </si>
  <si>
    <t>Démolition de bâtiments, évacuation incluse (volume brut)</t>
  </si>
  <si>
    <t>Démolition de caves, évacuation incluse (volume brut)</t>
  </si>
  <si>
    <t>Démantèlement de fondations souterraines en maçonnerie</t>
  </si>
  <si>
    <t>Démantèlement de fondations souterraines en béton</t>
  </si>
  <si>
    <t>Coûts fixes (mob/démob camion vacuum, enlèvement conduites, etc)</t>
  </si>
  <si>
    <t>Mesures de stabilité (par m² ou m de paroi à blinder)</t>
  </si>
  <si>
    <t>Mob/démob installation excavation tubée</t>
  </si>
  <si>
    <t>Excavation tubée + surcoût sable stabilisé au lieu de terre</t>
  </si>
  <si>
    <t>Pompage en fond de fouille</t>
  </si>
  <si>
    <t>Installation de stripping (incl. 1e charge charbon actif)</t>
  </si>
  <si>
    <t>Installation de déferrisation (filtre à sable rinçage manuel)</t>
  </si>
  <si>
    <t>Filtre à charbon actif (eau) (incl 1e charge charbon actif)</t>
  </si>
  <si>
    <t>Filtre à charbon actif (eau)</t>
  </si>
  <si>
    <t>Installation de stripping (incl. filtre charbon actif air)</t>
  </si>
  <si>
    <t>Remplacement charbon actif</t>
  </si>
  <si>
    <t>Isolation de la contamination résiduelle (film HDPE 0,4mm)</t>
  </si>
  <si>
    <t>Filtres (forages inclus)</t>
  </si>
  <si>
    <t>Rabattement par puits de pompage (bac de récupération exclus)</t>
  </si>
  <si>
    <t>Gaine d'attente électricité (PVC, diam. 110), tire-fils inclus</t>
  </si>
  <si>
    <t>Mob/démob camion vacuum</t>
  </si>
  <si>
    <t>Techniquement dissociable</t>
  </si>
  <si>
    <t>Généralités (clôtures autour installations, alarmes, déplacements pour intervention)</t>
  </si>
  <si>
    <t>En phase de démarrage (5 premières semaines)</t>
  </si>
  <si>
    <t>Après phase de démarrage</t>
  </si>
  <si>
    <t>Filtre charbon actif 200 l (inclus 1e charge)</t>
  </si>
  <si>
    <t>Filtre charbon actif 1250 l (inclus 1e charge)</t>
  </si>
  <si>
    <t>CATOX (ca 150 Nm³/h)</t>
  </si>
  <si>
    <t>Blower BLE (ca 150 Nm³/h)</t>
  </si>
  <si>
    <t>Filtre charbon actif 200 l</t>
  </si>
  <si>
    <t>Filtre charbon actif 1250 l</t>
  </si>
  <si>
    <t>Pump &amp; treat</t>
  </si>
  <si>
    <t>Location + utilisation (les prix par semaine sont repris)</t>
  </si>
  <si>
    <t>Total Global + 15 % imprévus</t>
  </si>
  <si>
    <t>Total Global + 15 % imprévus + TVA (21 %)</t>
  </si>
  <si>
    <t>sem</t>
  </si>
  <si>
    <t>tonne</t>
  </si>
  <si>
    <t>mc</t>
  </si>
  <si>
    <t>jour</t>
  </si>
  <si>
    <t>Tot. Glob. (€)</t>
  </si>
  <si>
    <t>Prix référence</t>
  </si>
  <si>
    <t>Fondements estimation :</t>
  </si>
  <si>
    <t>Fondements pollution étrangère aux activités de stations-service :</t>
  </si>
  <si>
    <t>Estimation des coûts d'assainissement</t>
  </si>
  <si>
    <t>Réalisation du projet d'assainissement et du cahier des charges</t>
  </si>
  <si>
    <t>Réalisation de la demande de permis (BXL)</t>
  </si>
  <si>
    <t>Coordination sécurité</t>
  </si>
  <si>
    <t>Suivi environnementale des travaux d'assainissement</t>
  </si>
  <si>
    <t>Suivi environnemental et rapport pour  travaux d'entreprise générale</t>
  </si>
  <si>
    <t>Placement de piézomètres</t>
  </si>
  <si>
    <t>Etat des lieux du domaine public</t>
  </si>
  <si>
    <t>Etat des lieux des bâtiments voisins</t>
  </si>
  <si>
    <t>Demandes de conduites utilitaires, mesures pour raccordements privés</t>
  </si>
  <si>
    <t>Démantèlement des installations de carburant souterraines
volume en m³</t>
  </si>
  <si>
    <t xml:space="preserve">Neutralisation des citernes, dégagement et remblai inclus </t>
  </si>
  <si>
    <t>Travaux de terrassement (exclus les terrassements des citernes)</t>
  </si>
  <si>
    <t>Mob/démob installation de soutènement</t>
  </si>
  <si>
    <t>Placement et enlèvement de soutènement</t>
  </si>
  <si>
    <t>Surcoût pour livraison de sable stabilisé au lieu de terre</t>
  </si>
  <si>
    <t>Installation jusqu'à 10 m³/h</t>
  </si>
  <si>
    <t>Installation jusqu'à 20 m³/h</t>
  </si>
  <si>
    <t>Installation jusqu'à 40 m³/h</t>
  </si>
  <si>
    <t>Drain de pompage (HDPE, diam 110 mm) gravier drainant inclus</t>
  </si>
  <si>
    <t>Mob/démob machine de forage, bac de récupération exclus</t>
  </si>
  <si>
    <t>Evacuation et traitement du produit extrait</t>
  </si>
  <si>
    <t>Remise en état du revêtement</t>
  </si>
  <si>
    <t>Distance via route en km (PU transport fct de la distance !!!)</t>
  </si>
  <si>
    <t>Propre à BOFAS techniquement non dissociable</t>
  </si>
  <si>
    <t>Etranger à BOFAS techniquement non dissociable</t>
  </si>
  <si>
    <t>Etranger à  BOFAS techniquement non dissociable</t>
  </si>
  <si>
    <t>In Situ (infrastructures nécessaires et utilisation incluses)</t>
  </si>
  <si>
    <t>Installation jusqu'à 5 m³/h</t>
  </si>
  <si>
    <t>Installation de déferrisation (filtre à sable à rinçage automatique)</t>
  </si>
  <si>
    <t>de posten in het geel zijn aanpasbaar --&gt; indien nodig omschrijving en/of bedrag dus in te vullen/aan te passen</t>
  </si>
  <si>
    <t>Tarieven gebaseerd op RC 2013</t>
  </si>
  <si>
    <t>Afsluiten bouwplaats (10,60€/m)</t>
  </si>
  <si>
    <t>Prijzen gebaseerd op RC2013 voor CGR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</si>
</sst>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0.0"/>
  </numFmts>
  <fonts count="10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2" fontId="2" fillId="2" borderId="0" xfId="0" applyNumberFormat="1" applyFont="1" applyFill="1" applyBorder="1" applyProtection="1">
      <protection locked="0"/>
    </xf>
    <xf numFmtId="2" fontId="2" fillId="2" borderId="0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vertical="top"/>
      <protection locked="0"/>
    </xf>
    <xf numFmtId="164" fontId="2" fillId="2" borderId="35" xfId="0" applyNumberFormat="1" applyFont="1" applyFill="1" applyBorder="1" applyAlignment="1" applyProtection="1">
      <alignment horizontal="left" vertical="top"/>
      <protection locked="0"/>
    </xf>
    <xf numFmtId="0" fontId="2" fillId="2" borderId="36" xfId="0" applyFont="1" applyFill="1" applyBorder="1" applyAlignment="1" applyProtection="1">
      <protection locked="0"/>
    </xf>
    <xf numFmtId="2" fontId="4" fillId="2" borderId="0" xfId="0" applyNumberFormat="1" applyFont="1" applyFill="1" applyBorder="1" applyAlignment="1" applyProtection="1">
      <protection locked="0"/>
    </xf>
    <xf numFmtId="1" fontId="2" fillId="2" borderId="38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3" fillId="3" borderId="16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9" fontId="2" fillId="0" borderId="11" xfId="0" applyNumberFormat="1" applyFont="1" applyBorder="1" applyProtection="1"/>
    <xf numFmtId="0" fontId="2" fillId="0" borderId="1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top" wrapText="1"/>
    </xf>
    <xf numFmtId="0" fontId="2" fillId="0" borderId="13" xfId="0" applyFont="1" applyBorder="1" applyProtection="1"/>
    <xf numFmtId="9" fontId="2" fillId="0" borderId="0" xfId="0" applyNumberFormat="1" applyFont="1" applyBorder="1" applyProtection="1"/>
    <xf numFmtId="0" fontId="2" fillId="0" borderId="3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right" vertical="top"/>
    </xf>
    <xf numFmtId="0" fontId="2" fillId="0" borderId="27" xfId="0" applyFont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/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vertical="top"/>
    </xf>
    <xf numFmtId="0" fontId="2" fillId="0" borderId="11" xfId="0" applyFont="1" applyBorder="1" applyAlignment="1" applyProtection="1">
      <alignment vertical="top" wrapText="1"/>
    </xf>
    <xf numFmtId="0" fontId="2" fillId="0" borderId="26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3" fillId="3" borderId="15" xfId="0" applyFont="1" applyFill="1" applyBorder="1" applyAlignment="1" applyProtection="1">
      <alignment horizontal="left" vertical="top"/>
    </xf>
    <xf numFmtId="0" fontId="3" fillId="3" borderId="16" xfId="0" applyFont="1" applyFill="1" applyBorder="1" applyAlignment="1" applyProtection="1">
      <alignment vertical="top"/>
    </xf>
    <xf numFmtId="0" fontId="3" fillId="3" borderId="41" xfId="0" applyFont="1" applyFill="1" applyBorder="1" applyAlignment="1" applyProtection="1">
      <alignment vertical="top" wrapText="1"/>
    </xf>
    <xf numFmtId="0" fontId="3" fillId="3" borderId="19" xfId="0" applyFont="1" applyFill="1" applyBorder="1" applyAlignment="1" applyProtection="1">
      <alignment horizontal="center" vertical="top"/>
    </xf>
    <xf numFmtId="0" fontId="3" fillId="3" borderId="19" xfId="0" applyFont="1" applyFill="1" applyBorder="1" applyAlignment="1" applyProtection="1">
      <alignment horizontal="center" vertical="top" wrapText="1"/>
    </xf>
    <xf numFmtId="0" fontId="3" fillId="3" borderId="16" xfId="0" applyFont="1" applyFill="1" applyBorder="1" applyAlignment="1" applyProtection="1">
      <alignment horizontal="center" vertical="top"/>
    </xf>
    <xf numFmtId="0" fontId="3" fillId="3" borderId="41" xfId="0" applyFont="1" applyFill="1" applyBorder="1" applyAlignment="1" applyProtection="1">
      <alignment horizontal="center" vertical="top" wrapText="1"/>
    </xf>
    <xf numFmtId="0" fontId="3" fillId="3" borderId="17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2" fillId="0" borderId="37" xfId="0" applyFont="1" applyBorder="1" applyAlignment="1" applyProtection="1">
      <alignment wrapText="1"/>
    </xf>
    <xf numFmtId="0" fontId="2" fillId="0" borderId="38" xfId="0" applyFont="1" applyBorder="1" applyAlignment="1" applyProtection="1">
      <alignment horizontal="center"/>
    </xf>
    <xf numFmtId="1" fontId="2" fillId="0" borderId="38" xfId="0" applyNumberFormat="1" applyFont="1" applyBorder="1" applyAlignment="1" applyProtection="1"/>
    <xf numFmtId="2" fontId="2" fillId="0" borderId="0" xfId="0" applyNumberFormat="1" applyFont="1" applyBorder="1" applyAlignment="1" applyProtection="1"/>
    <xf numFmtId="1" fontId="2" fillId="0" borderId="37" xfId="0" applyNumberFormat="1" applyFont="1" applyBorder="1" applyAlignment="1" applyProtection="1"/>
    <xf numFmtId="2" fontId="2" fillId="0" borderId="1" xfId="0" applyNumberFormat="1" applyFont="1" applyBorder="1" applyAlignment="1" applyProtection="1"/>
    <xf numFmtId="1" fontId="2" fillId="0" borderId="0" xfId="0" applyNumberFormat="1" applyFont="1" applyBorder="1" applyAlignment="1" applyProtection="1"/>
    <xf numFmtId="1" fontId="2" fillId="0" borderId="2" xfId="0" applyNumberFormat="1" applyFont="1" applyBorder="1" applyAlignment="1" applyProtection="1"/>
    <xf numFmtId="0" fontId="2" fillId="0" borderId="24" xfId="0" applyFont="1" applyBorder="1" applyAlignment="1" applyProtection="1">
      <alignment horizontal="left"/>
    </xf>
    <xf numFmtId="0" fontId="2" fillId="0" borderId="25" xfId="0" applyFont="1" applyBorder="1" applyAlignment="1" applyProtection="1"/>
    <xf numFmtId="0" fontId="2" fillId="0" borderId="42" xfId="0" applyFont="1" applyBorder="1" applyAlignment="1" applyProtection="1">
      <alignment wrapText="1"/>
    </xf>
    <xf numFmtId="0" fontId="2" fillId="0" borderId="39" xfId="0" applyFont="1" applyBorder="1" applyAlignment="1" applyProtection="1">
      <alignment horizontal="center"/>
    </xf>
    <xf numFmtId="1" fontId="2" fillId="0" borderId="39" xfId="0" applyNumberFormat="1" applyFont="1" applyBorder="1" applyAlignment="1" applyProtection="1"/>
    <xf numFmtId="2" fontId="2" fillId="0" borderId="25" xfId="0" applyNumberFormat="1" applyFont="1" applyBorder="1" applyProtection="1"/>
    <xf numFmtId="1" fontId="2" fillId="0" borderId="42" xfId="0" applyNumberFormat="1" applyFont="1" applyBorder="1" applyAlignment="1" applyProtection="1"/>
    <xf numFmtId="2" fontId="2" fillId="0" borderId="6" xfId="0" applyNumberFormat="1" applyFont="1" applyBorder="1" applyProtection="1"/>
    <xf numFmtId="1" fontId="2" fillId="0" borderId="25" xfId="0" applyNumberFormat="1" applyFont="1" applyBorder="1" applyAlignment="1" applyProtection="1"/>
    <xf numFmtId="1" fontId="2" fillId="0" borderId="7" xfId="0" applyNumberFormat="1" applyFont="1" applyBorder="1" applyAlignment="1" applyProtection="1"/>
    <xf numFmtId="0" fontId="2" fillId="0" borderId="0" xfId="0" applyFont="1" applyBorder="1" applyProtection="1"/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/>
    <xf numFmtId="0" fontId="2" fillId="0" borderId="43" xfId="0" applyFont="1" applyBorder="1" applyAlignment="1" applyProtection="1">
      <alignment wrapText="1"/>
    </xf>
    <xf numFmtId="0" fontId="2" fillId="0" borderId="40" xfId="0" applyFont="1" applyBorder="1" applyAlignment="1" applyProtection="1">
      <alignment horizontal="center"/>
    </xf>
    <xf numFmtId="1" fontId="2" fillId="0" borderId="40" xfId="0" applyNumberFormat="1" applyFont="1" applyBorder="1" applyAlignment="1" applyProtection="1"/>
    <xf numFmtId="2" fontId="2" fillId="0" borderId="23" xfId="0" applyNumberFormat="1" applyFont="1" applyBorder="1" applyProtection="1"/>
    <xf numFmtId="1" fontId="2" fillId="0" borderId="43" xfId="0" applyNumberFormat="1" applyFont="1" applyBorder="1" applyAlignment="1" applyProtection="1"/>
    <xf numFmtId="2" fontId="2" fillId="0" borderId="8" xfId="0" applyNumberFormat="1" applyFont="1" applyBorder="1" applyProtection="1"/>
    <xf numFmtId="1" fontId="2" fillId="0" borderId="23" xfId="0" applyNumberFormat="1" applyFont="1" applyBorder="1" applyAlignment="1" applyProtection="1"/>
    <xf numFmtId="1" fontId="2" fillId="0" borderId="9" xfId="0" applyNumberFormat="1" applyFont="1" applyBorder="1" applyAlignment="1" applyProtection="1"/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/>
    <xf numFmtId="0" fontId="2" fillId="0" borderId="44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center"/>
    </xf>
    <xf numFmtId="1" fontId="2" fillId="0" borderId="3" xfId="0" applyNumberFormat="1" applyFont="1" applyBorder="1" applyAlignment="1" applyProtection="1"/>
    <xf numFmtId="2" fontId="2" fillId="0" borderId="21" xfId="0" applyNumberFormat="1" applyFont="1" applyBorder="1" applyAlignment="1" applyProtection="1"/>
    <xf numFmtId="2" fontId="2" fillId="0" borderId="4" xfId="0" applyNumberFormat="1" applyFont="1" applyBorder="1" applyAlignment="1" applyProtection="1"/>
    <xf numFmtId="1" fontId="2" fillId="0" borderId="5" xfId="0" applyNumberFormat="1" applyFont="1" applyBorder="1" applyAlignment="1" applyProtection="1"/>
    <xf numFmtId="2" fontId="2" fillId="0" borderId="0" xfId="0" quotePrefix="1" applyNumberFormat="1" applyFont="1" applyBorder="1" applyAlignment="1" applyProtection="1"/>
    <xf numFmtId="2" fontId="2" fillId="0" borderId="1" xfId="0" quotePrefix="1" applyNumberFormat="1" applyFont="1" applyBorder="1" applyAlignment="1" applyProtection="1"/>
    <xf numFmtId="0" fontId="2" fillId="0" borderId="0" xfId="0" quotePrefix="1" applyFont="1" applyAlignment="1" applyProtection="1"/>
    <xf numFmtId="0" fontId="2" fillId="0" borderId="0" xfId="0" applyFont="1" applyBorder="1" applyAlignment="1" applyProtection="1">
      <alignment horizontal="left" indent="1"/>
    </xf>
    <xf numFmtId="0" fontId="2" fillId="0" borderId="37" xfId="0" applyFont="1" applyBorder="1" applyAlignment="1" applyProtection="1">
      <alignment horizontal="left" wrapText="1"/>
    </xf>
    <xf numFmtId="1" fontId="2" fillId="0" borderId="38" xfId="0" quotePrefix="1" applyNumberFormat="1" applyFont="1" applyBorder="1" applyAlignment="1" applyProtection="1"/>
    <xf numFmtId="0" fontId="2" fillId="0" borderId="0" xfId="0" applyFont="1" applyBorder="1" applyAlignment="1" applyProtection="1">
      <alignment horizontal="left" indent="2"/>
    </xf>
    <xf numFmtId="0" fontId="4" fillId="0" borderId="38" xfId="0" applyFont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indent="1"/>
    </xf>
    <xf numFmtId="0" fontId="4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left" wrapText="1"/>
    </xf>
    <xf numFmtId="1" fontId="2" fillId="0" borderId="38" xfId="0" applyNumberFormat="1" applyFont="1" applyFill="1" applyBorder="1" applyProtection="1"/>
    <xf numFmtId="1" fontId="4" fillId="0" borderId="2" xfId="0" applyNumberFormat="1" applyFont="1" applyBorder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37" xfId="0" applyFont="1" applyBorder="1" applyAlignment="1" applyProtection="1">
      <alignment wrapText="1"/>
    </xf>
    <xf numFmtId="1" fontId="4" fillId="0" borderId="38" xfId="0" applyNumberFormat="1" applyFont="1" applyBorder="1" applyAlignment="1" applyProtection="1"/>
    <xf numFmtId="0" fontId="4" fillId="0" borderId="0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right"/>
    </xf>
    <xf numFmtId="2" fontId="4" fillId="0" borderId="0" xfId="0" applyNumberFormat="1" applyFont="1" applyBorder="1" applyAlignment="1" applyProtection="1"/>
    <xf numFmtId="2" fontId="4" fillId="0" borderId="0" xfId="0" applyNumberFormat="1" applyFont="1" applyFill="1" applyBorder="1" applyAlignment="1" applyProtection="1"/>
    <xf numFmtId="2" fontId="4" fillId="0" borderId="38" xfId="0" applyNumberFormat="1" applyFont="1" applyBorder="1" applyAlignment="1" applyProtection="1"/>
    <xf numFmtId="2" fontId="2" fillId="0" borderId="0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0" fontId="4" fillId="0" borderId="13" xfId="0" quotePrefix="1" applyFont="1" applyBorder="1" applyAlignment="1" applyProtection="1">
      <alignment horizontal="right"/>
    </xf>
    <xf numFmtId="1" fontId="2" fillId="0" borderId="38" xfId="0" applyNumberFormat="1" applyFont="1" applyFill="1" applyBorder="1" applyAlignment="1" applyProtection="1"/>
    <xf numFmtId="0" fontId="3" fillId="0" borderId="23" xfId="0" applyFont="1" applyBorder="1" applyAlignment="1" applyProtection="1"/>
    <xf numFmtId="0" fontId="3" fillId="0" borderId="43" xfId="0" applyFont="1" applyBorder="1" applyAlignment="1" applyProtection="1">
      <alignment wrapText="1"/>
    </xf>
    <xf numFmtId="0" fontId="2" fillId="0" borderId="40" xfId="0" applyFont="1" applyBorder="1" applyAlignment="1" applyProtection="1"/>
    <xf numFmtId="2" fontId="2" fillId="0" borderId="23" xfId="0" applyNumberFormat="1" applyFont="1" applyBorder="1" applyAlignment="1" applyProtection="1"/>
    <xf numFmtId="1" fontId="3" fillId="0" borderId="43" xfId="0" applyNumberFormat="1" applyFont="1" applyBorder="1" applyAlignment="1" applyProtection="1"/>
    <xf numFmtId="3" fontId="3" fillId="0" borderId="8" xfId="0" applyNumberFormat="1" applyFont="1" applyBorder="1" applyAlignment="1" applyProtection="1"/>
    <xf numFmtId="1" fontId="3" fillId="0" borderId="23" xfId="0" applyNumberFormat="1" applyFont="1" applyBorder="1" applyAlignment="1" applyProtection="1"/>
    <xf numFmtId="1" fontId="3" fillId="0" borderId="9" xfId="0" applyNumberFormat="1" applyFont="1" applyBorder="1" applyAlignment="1" applyProtection="1"/>
    <xf numFmtId="0" fontId="2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/>
    <xf numFmtId="1" fontId="2" fillId="0" borderId="29" xfId="0" applyNumberFormat="1" applyFont="1" applyBorder="1" applyAlignment="1" applyProtection="1"/>
    <xf numFmtId="0" fontId="2" fillId="0" borderId="29" xfId="0" applyFont="1" applyBorder="1" applyAlignment="1" applyProtection="1">
      <alignment horizontal="center"/>
    </xf>
    <xf numFmtId="0" fontId="2" fillId="0" borderId="29" xfId="0" applyFont="1" applyBorder="1" applyAlignment="1" applyProtection="1"/>
    <xf numFmtId="3" fontId="3" fillId="0" borderId="29" xfId="0" applyNumberFormat="1" applyFont="1" applyBorder="1" applyAlignment="1" applyProtection="1"/>
    <xf numFmtId="3" fontId="3" fillId="0" borderId="30" xfId="0" applyNumberFormat="1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1" fontId="2" fillId="0" borderId="0" xfId="0" applyNumberFormat="1" applyFont="1" applyAlignment="1" applyProtection="1"/>
    <xf numFmtId="0" fontId="3" fillId="0" borderId="13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top"/>
    </xf>
    <xf numFmtId="0" fontId="3" fillId="0" borderId="37" xfId="0" applyFont="1" applyFill="1" applyBorder="1" applyAlignment="1" applyProtection="1">
      <alignment vertical="top" wrapText="1"/>
    </xf>
    <xf numFmtId="0" fontId="3" fillId="0" borderId="38" xfId="0" applyFont="1" applyFill="1" applyBorder="1" applyAlignment="1" applyProtection="1">
      <alignment horizontal="center" vertical="top"/>
    </xf>
    <xf numFmtId="0" fontId="3" fillId="0" borderId="38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37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165" fontId="4" fillId="0" borderId="38" xfId="0" applyNumberFormat="1" applyFont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37" xfId="0" applyFont="1" applyBorder="1" applyAlignment="1" applyProtection="1">
      <alignment horizontal="left" wrapText="1" indent="1"/>
    </xf>
    <xf numFmtId="0" fontId="2" fillId="0" borderId="37" xfId="0" applyFont="1" applyBorder="1" applyAlignment="1" applyProtection="1">
      <alignment horizontal="left" wrapText="1" indent="2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vertical="top" wrapText="1"/>
      <protection locked="0"/>
    </xf>
    <xf numFmtId="0" fontId="4" fillId="0" borderId="37" xfId="0" applyFont="1" applyFill="1" applyBorder="1" applyAlignment="1" applyProtection="1">
      <alignment horizontal="left" wrapText="1"/>
    </xf>
    <xf numFmtId="0" fontId="4" fillId="0" borderId="37" xfId="0" applyFont="1" applyFill="1" applyBorder="1" applyAlignment="1" applyProtection="1">
      <alignment wrapText="1"/>
    </xf>
    <xf numFmtId="0" fontId="2" fillId="0" borderId="37" xfId="0" applyFont="1" applyFill="1" applyBorder="1" applyAlignment="1" applyProtection="1">
      <alignment horizontal="left" wrapText="1" indent="1"/>
    </xf>
    <xf numFmtId="0" fontId="2" fillId="0" borderId="37" xfId="0" applyFont="1" applyFill="1" applyBorder="1" applyAlignment="1" applyProtection="1">
      <alignment horizontal="left" wrapText="1" indent="2"/>
    </xf>
    <xf numFmtId="0" fontId="2" fillId="0" borderId="37" xfId="0" applyFont="1" applyFill="1" applyBorder="1" applyAlignment="1" applyProtection="1">
      <alignment wrapText="1"/>
    </xf>
    <xf numFmtId="0" fontId="2" fillId="0" borderId="29" xfId="0" applyFont="1" applyFill="1" applyBorder="1" applyAlignment="1" applyProtection="1">
      <alignment wrapText="1"/>
    </xf>
    <xf numFmtId="0" fontId="2" fillId="0" borderId="11" xfId="0" applyFont="1" applyBorder="1" applyAlignment="1" applyProtection="1">
      <alignment horizontal="right" vertical="top"/>
    </xf>
    <xf numFmtId="0" fontId="2" fillId="0" borderId="11" xfId="0" applyFont="1" applyBorder="1" applyAlignment="1" applyProtection="1">
      <alignment horizontal="right" vertical="top" wrapText="1"/>
    </xf>
    <xf numFmtId="0" fontId="2" fillId="2" borderId="45" xfId="0" applyFont="1" applyFill="1" applyBorder="1" applyAlignment="1" applyProtection="1">
      <alignment vertical="top"/>
      <protection locked="0"/>
    </xf>
    <xf numFmtId="0" fontId="2" fillId="2" borderId="46" xfId="0" applyFont="1" applyFill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top"/>
    </xf>
    <xf numFmtId="0" fontId="2" fillId="2" borderId="45" xfId="0" applyFont="1" applyFill="1" applyBorder="1" applyAlignment="1" applyProtection="1">
      <alignment horizontal="left"/>
      <protection locked="0"/>
    </xf>
    <xf numFmtId="0" fontId="1" fillId="0" borderId="11" xfId="0" applyFont="1" applyBorder="1" applyProtection="1"/>
    <xf numFmtId="0" fontId="2" fillId="0" borderId="11" xfId="0" applyFont="1" applyBorder="1" applyAlignment="1" applyProtection="1"/>
    <xf numFmtId="0" fontId="2" fillId="0" borderId="12" xfId="0" applyFont="1" applyBorder="1" applyAlignment="1" applyProtection="1">
      <alignment horizontal="left" vertical="top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top"/>
    </xf>
    <xf numFmtId="0" fontId="3" fillId="3" borderId="32" xfId="0" applyFont="1" applyFill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1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0" fontId="2" fillId="2" borderId="16" xfId="0" applyFont="1" applyFill="1" applyBorder="1" applyAlignment="1" applyProtection="1">
      <alignment horizontal="left" vertical="top"/>
      <protection locked="0"/>
    </xf>
    <xf numFmtId="0" fontId="2" fillId="2" borderId="33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loontje/Local%20Settings/Temporary%20Internet%20Files/OLK27/bl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ccesTabel"/>
      <sheetName val="SoilInvestigationMain"/>
      <sheetName val="SCU51_OO"/>
      <sheetName val="SCU61_BO"/>
      <sheetName val="SCU65_BSP"/>
      <sheetName val="SCU54_Monitoring"/>
      <sheetName val="SCU95_Calamity"/>
      <sheetName val="RemediationMain"/>
      <sheetName val="SCU75_FollowUp"/>
      <sheetName val="SCU75_FollowUpInSitu"/>
      <sheetName val="SCU85_SafetyCoordination"/>
      <sheetName val="definitief"/>
      <sheetName val="definitiefinsi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2">
          <cell r="G32">
            <v>1870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84"/>
  <sheetViews>
    <sheetView showZeros="0" tabSelected="1" topLeftCell="A3" zoomScale="120" zoomScaleNormal="120" workbookViewId="0">
      <pane ySplit="11" topLeftCell="A14" activePane="bottomLeft" state="frozen"/>
      <selection activeCell="A3" sqref="A3"/>
      <selection pane="bottomLeft" activeCell="F5" sqref="F5"/>
    </sheetView>
  </sheetViews>
  <sheetFormatPr defaultColWidth="0" defaultRowHeight="10.199999999999999" zeroHeight="1" outlineLevelCol="1" x14ac:dyDescent="0.2"/>
  <cols>
    <col min="1" max="1" width="1.5546875" style="16" customWidth="1"/>
    <col min="2" max="2" width="7" style="12" customWidth="1"/>
    <col min="3" max="3" width="49.109375" style="13" customWidth="1"/>
    <col min="4" max="4" width="49.6640625" style="126" hidden="1" customWidth="1"/>
    <col min="5" max="5" width="6.88671875" style="13" hidden="1" customWidth="1"/>
    <col min="6" max="6" width="6.109375" style="13" customWidth="1"/>
    <col min="7" max="7" width="6.88671875" style="13" customWidth="1"/>
    <col min="8" max="8" width="7.6640625" style="15" customWidth="1"/>
    <col min="9" max="9" width="7.6640625" style="13" customWidth="1"/>
    <col min="10" max="11" width="7.6640625" style="13" customWidth="1" outlineLevel="1"/>
    <col min="12" max="12" width="7.6640625" style="13" customWidth="1"/>
    <col min="13" max="13" width="9.33203125" style="13" hidden="1" customWidth="1"/>
    <col min="14" max="18" width="8.88671875" style="13" hidden="1" customWidth="1"/>
    <col min="19" max="20" width="0" style="13" hidden="1" customWidth="1"/>
    <col min="21" max="16384" width="8.88671875" style="16" hidden="1"/>
  </cols>
  <sheetData>
    <row r="1" spans="2:20" ht="10.8" hidden="1" thickBot="1" x14ac:dyDescent="0.25">
      <c r="B1" s="13"/>
      <c r="D1" s="13"/>
      <c r="H1" s="13"/>
    </row>
    <row r="2" spans="2:20" ht="10.8" hidden="1" thickBot="1" x14ac:dyDescent="0.25">
      <c r="B2" s="13"/>
      <c r="D2" s="13"/>
      <c r="H2" s="13"/>
    </row>
    <row r="3" spans="2:20" ht="16.2" thickBot="1" x14ac:dyDescent="0.25">
      <c r="B3" s="164" t="s">
        <v>0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  <c r="M3" s="16"/>
      <c r="N3" s="17" t="s">
        <v>91</v>
      </c>
      <c r="O3" s="18"/>
      <c r="P3" s="19">
        <v>0.15</v>
      </c>
      <c r="Q3" s="19"/>
      <c r="R3" s="19"/>
      <c r="S3" s="18"/>
    </row>
    <row r="4" spans="2:20" ht="15.6" hidden="1" x14ac:dyDescent="0.2">
      <c r="B4" s="164" t="s">
        <v>350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  <c r="M4" s="16"/>
      <c r="N4" s="23" t="s">
        <v>301</v>
      </c>
      <c r="O4" s="64"/>
      <c r="P4" s="64"/>
      <c r="Q4" s="64"/>
      <c r="R4" s="64"/>
      <c r="S4" s="64"/>
      <c r="T4" s="24"/>
    </row>
    <row r="5" spans="2:20" ht="12.75" customHeight="1" x14ac:dyDescent="0.2">
      <c r="B5" s="29"/>
      <c r="C5" s="151" t="s">
        <v>10</v>
      </c>
      <c r="D5" s="152" t="s">
        <v>191</v>
      </c>
      <c r="E5" s="153"/>
      <c r="F5" s="154"/>
      <c r="G5" s="155"/>
      <c r="H5" s="151" t="s">
        <v>198</v>
      </c>
      <c r="I5" s="156"/>
      <c r="J5" s="157" t="str">
        <f>IF(OR(I5="VLA",I5="BXL",I5="WAL"),"","Type VLA, BXL or WAL")</f>
        <v>Type VLA, BXL or WAL</v>
      </c>
      <c r="K5" s="158"/>
      <c r="L5" s="159"/>
      <c r="M5" s="16"/>
      <c r="N5" s="23" t="s">
        <v>92</v>
      </c>
      <c r="O5" s="16"/>
      <c r="P5" s="24">
        <f>SUM(K39:K233)/(SUM(L39:L233)+0.00000000000001)</f>
        <v>0</v>
      </c>
      <c r="Q5" s="16"/>
      <c r="R5" s="16"/>
      <c r="S5" s="16"/>
    </row>
    <row r="6" spans="2:20" ht="13.5" customHeight="1" x14ac:dyDescent="0.2">
      <c r="B6" s="20"/>
      <c r="C6" s="21" t="s">
        <v>41</v>
      </c>
      <c r="D6" s="22" t="s">
        <v>112</v>
      </c>
      <c r="E6" s="4"/>
      <c r="F6" s="170"/>
      <c r="G6" s="171"/>
      <c r="H6" s="171"/>
      <c r="I6" s="171"/>
      <c r="J6" s="171"/>
      <c r="K6" s="171"/>
      <c r="L6" s="172"/>
      <c r="M6" s="16"/>
      <c r="N6" s="16" t="s">
        <v>302</v>
      </c>
      <c r="O6" s="16"/>
      <c r="P6" s="16"/>
      <c r="Q6" s="16"/>
      <c r="R6" s="16"/>
      <c r="S6" s="16"/>
      <c r="T6" s="24">
        <f>SUM(T40:T234)/(SUM(J40:J223,T40:T234)+0.00000000000001)</f>
        <v>0</v>
      </c>
    </row>
    <row r="7" spans="2:20" ht="29.25" customHeight="1" x14ac:dyDescent="0.2">
      <c r="B7" s="20"/>
      <c r="C7" s="21" t="s">
        <v>183</v>
      </c>
      <c r="D7" s="22" t="s">
        <v>349</v>
      </c>
      <c r="E7" s="10"/>
      <c r="F7" s="167"/>
      <c r="G7" s="168"/>
      <c r="H7" s="168"/>
      <c r="I7" s="168"/>
      <c r="J7" s="168"/>
      <c r="K7" s="168"/>
      <c r="L7" s="169"/>
      <c r="M7" s="16"/>
      <c r="N7" s="16"/>
      <c r="O7" s="16"/>
      <c r="P7" s="16"/>
      <c r="Q7" s="16"/>
      <c r="R7" s="16"/>
      <c r="S7" s="16"/>
      <c r="T7" s="24"/>
    </row>
    <row r="8" spans="2:20" ht="33.75" customHeight="1" x14ac:dyDescent="0.2">
      <c r="B8" s="20"/>
      <c r="C8" s="21" t="s">
        <v>184</v>
      </c>
      <c r="D8" s="22" t="s">
        <v>348</v>
      </c>
      <c r="E8" s="3"/>
      <c r="F8" s="167"/>
      <c r="G8" s="168"/>
      <c r="H8" s="168"/>
      <c r="I8" s="168"/>
      <c r="J8" s="168"/>
      <c r="K8" s="168"/>
      <c r="L8" s="169"/>
      <c r="M8" s="16"/>
      <c r="N8" s="21"/>
      <c r="O8" s="16"/>
      <c r="P8" s="16"/>
      <c r="Q8" s="16"/>
      <c r="R8" s="16"/>
      <c r="S8" s="16"/>
      <c r="T8" s="16"/>
    </row>
    <row r="9" spans="2:20" ht="13.5" customHeight="1" thickBot="1" x14ac:dyDescent="0.25">
      <c r="B9" s="25"/>
      <c r="C9" s="26" t="s">
        <v>11</v>
      </c>
      <c r="D9" s="27" t="s">
        <v>113</v>
      </c>
      <c r="E9" s="5"/>
      <c r="F9" s="5"/>
      <c r="G9" s="28"/>
      <c r="H9" s="28"/>
      <c r="I9" s="28"/>
      <c r="J9" s="28"/>
      <c r="K9" s="26" t="s">
        <v>196</v>
      </c>
      <c r="L9" s="6"/>
      <c r="M9" s="16"/>
      <c r="N9" s="21"/>
      <c r="O9" s="16"/>
      <c r="P9" s="16"/>
      <c r="Q9" s="16"/>
      <c r="R9" s="16"/>
      <c r="S9" s="16"/>
      <c r="T9" s="16"/>
    </row>
    <row r="10" spans="2:20" ht="12.75" customHeight="1" x14ac:dyDescent="0.2">
      <c r="B10" s="29"/>
      <c r="C10" s="30"/>
      <c r="D10" s="31"/>
      <c r="E10" s="30"/>
      <c r="F10" s="32"/>
      <c r="G10" s="32"/>
      <c r="H10" s="160" t="s">
        <v>176</v>
      </c>
      <c r="I10" s="161"/>
      <c r="J10" s="162" t="s">
        <v>39</v>
      </c>
      <c r="K10" s="163"/>
      <c r="L10" s="33"/>
      <c r="M10" s="16"/>
      <c r="N10" s="34"/>
      <c r="O10" s="16"/>
      <c r="P10" s="16"/>
      <c r="Q10" s="16"/>
      <c r="R10" s="16"/>
      <c r="S10" s="16"/>
      <c r="T10" s="16"/>
    </row>
    <row r="11" spans="2:20" ht="25.5" customHeight="1" x14ac:dyDescent="0.2">
      <c r="B11" s="35" t="s">
        <v>9</v>
      </c>
      <c r="C11" s="36" t="s">
        <v>1</v>
      </c>
      <c r="D11" s="37" t="s">
        <v>114</v>
      </c>
      <c r="E11" s="38" t="s">
        <v>165</v>
      </c>
      <c r="F11" s="38" t="s">
        <v>3</v>
      </c>
      <c r="G11" s="39" t="s">
        <v>42</v>
      </c>
      <c r="H11" s="40" t="s">
        <v>2</v>
      </c>
      <c r="I11" s="41" t="s">
        <v>62</v>
      </c>
      <c r="J11" s="42" t="s">
        <v>2</v>
      </c>
      <c r="K11" s="14" t="s">
        <v>62</v>
      </c>
      <c r="L11" s="43" t="s">
        <v>195</v>
      </c>
      <c r="M11" s="16"/>
      <c r="N11" s="44" t="s">
        <v>35</v>
      </c>
      <c r="O11" s="16"/>
      <c r="P11" s="16"/>
      <c r="Q11" s="16"/>
      <c r="R11" s="16"/>
      <c r="S11" s="16"/>
      <c r="T11" s="16"/>
    </row>
    <row r="12" spans="2:20" ht="12.75" hidden="1" customHeight="1" x14ac:dyDescent="0.2">
      <c r="B12" s="29"/>
      <c r="C12" s="30"/>
      <c r="D12" s="31"/>
      <c r="E12" s="30"/>
      <c r="F12" s="32"/>
      <c r="G12" s="32"/>
      <c r="H12" s="160" t="s">
        <v>303</v>
      </c>
      <c r="I12" s="161"/>
      <c r="J12" s="162" t="s">
        <v>197</v>
      </c>
      <c r="K12" s="163"/>
      <c r="L12" s="33"/>
      <c r="M12" s="16"/>
      <c r="N12" s="34"/>
      <c r="O12" s="16"/>
      <c r="P12" s="16"/>
      <c r="Q12" s="16"/>
      <c r="R12" s="16"/>
      <c r="S12" s="16"/>
      <c r="T12" s="16"/>
    </row>
    <row r="13" spans="2:20" ht="25.5" hidden="1" customHeight="1" x14ac:dyDescent="0.2">
      <c r="B13" s="35" t="s">
        <v>9</v>
      </c>
      <c r="C13" s="36" t="s">
        <v>1</v>
      </c>
      <c r="D13" s="37" t="s">
        <v>114</v>
      </c>
      <c r="E13" s="38" t="s">
        <v>165</v>
      </c>
      <c r="F13" s="38" t="s">
        <v>3</v>
      </c>
      <c r="G13" s="39" t="s">
        <v>192</v>
      </c>
      <c r="H13" s="40" t="s">
        <v>193</v>
      </c>
      <c r="I13" s="41" t="s">
        <v>194</v>
      </c>
      <c r="J13" s="40" t="s">
        <v>193</v>
      </c>
      <c r="K13" s="41" t="s">
        <v>194</v>
      </c>
      <c r="L13" s="43" t="s">
        <v>346</v>
      </c>
      <c r="M13" s="16"/>
      <c r="N13" s="44" t="s">
        <v>347</v>
      </c>
      <c r="O13" s="16"/>
      <c r="P13" s="16"/>
      <c r="Q13" s="16"/>
      <c r="R13" s="16"/>
      <c r="S13" s="16"/>
      <c r="T13" s="16"/>
    </row>
    <row r="14" spans="2:20" ht="11.25" customHeight="1" x14ac:dyDescent="0.2">
      <c r="B14" s="129"/>
      <c r="C14" s="130"/>
      <c r="D14" s="131"/>
      <c r="E14" s="132"/>
      <c r="F14" s="132"/>
      <c r="G14" s="133"/>
      <c r="H14" s="134"/>
      <c r="I14" s="135"/>
      <c r="J14" s="134"/>
      <c r="K14" s="136"/>
      <c r="L14" s="137"/>
      <c r="M14" s="16"/>
      <c r="N14" s="44"/>
      <c r="O14" s="16"/>
      <c r="P14" s="16"/>
      <c r="Q14" s="16"/>
      <c r="R14" s="16"/>
      <c r="S14" s="16"/>
      <c r="T14" s="16"/>
    </row>
    <row r="15" spans="2:20" ht="11.25" customHeight="1" x14ac:dyDescent="0.2">
      <c r="B15" s="20">
        <v>1</v>
      </c>
      <c r="C15" s="45" t="s">
        <v>12</v>
      </c>
      <c r="D15" s="46" t="s">
        <v>292</v>
      </c>
      <c r="E15" s="47"/>
      <c r="F15" s="47"/>
      <c r="G15" s="48"/>
      <c r="H15" s="49"/>
      <c r="I15" s="50">
        <f>+H15*G15</f>
        <v>0</v>
      </c>
      <c r="J15" s="51"/>
      <c r="K15" s="52">
        <f>+J15*G15</f>
        <v>0</v>
      </c>
      <c r="L15" s="53">
        <f>+K15+I15</f>
        <v>0</v>
      </c>
      <c r="M15" s="16">
        <v>1</v>
      </c>
      <c r="N15" s="45"/>
      <c r="O15" s="16"/>
      <c r="P15" s="16"/>
      <c r="Q15" s="16"/>
      <c r="R15" s="16"/>
      <c r="S15" s="16"/>
      <c r="T15" s="16"/>
    </row>
    <row r="16" spans="2:20" ht="11.25" customHeight="1" x14ac:dyDescent="0.2">
      <c r="B16" s="20">
        <v>1.1000000000000001</v>
      </c>
      <c r="C16" s="45" t="s">
        <v>291</v>
      </c>
      <c r="D16" s="46" t="s">
        <v>351</v>
      </c>
      <c r="E16" s="47" t="s">
        <v>31</v>
      </c>
      <c r="F16" s="47" t="s">
        <v>31</v>
      </c>
      <c r="G16" s="8">
        <v>9000</v>
      </c>
      <c r="H16" s="49">
        <f>1-$P$5</f>
        <v>1</v>
      </c>
      <c r="I16" s="50">
        <f>+H16*G16</f>
        <v>9000</v>
      </c>
      <c r="J16" s="51">
        <f>$P$5</f>
        <v>0</v>
      </c>
      <c r="K16" s="52">
        <f t="shared" ref="K16:K75" si="0">+J16*G16</f>
        <v>0</v>
      </c>
      <c r="L16" s="53">
        <f>+K16+I16</f>
        <v>9000</v>
      </c>
      <c r="M16" s="16">
        <f>IF(L16&gt;0,1,0)</f>
        <v>1</v>
      </c>
      <c r="N16" s="45"/>
      <c r="O16" s="16"/>
      <c r="P16" s="16"/>
      <c r="Q16" s="16"/>
      <c r="R16" s="16"/>
      <c r="S16" s="16"/>
      <c r="T16" s="16"/>
    </row>
    <row r="17" spans="2:20" ht="11.25" customHeight="1" x14ac:dyDescent="0.2">
      <c r="B17" s="20">
        <v>1.2</v>
      </c>
      <c r="C17" s="45" t="s">
        <v>102</v>
      </c>
      <c r="D17" s="46" t="s">
        <v>116</v>
      </c>
      <c r="E17" s="47" t="s">
        <v>31</v>
      </c>
      <c r="F17" s="47" t="s">
        <v>31</v>
      </c>
      <c r="G17" s="8">
        <v>1500</v>
      </c>
      <c r="H17" s="49">
        <f>1-$P$5</f>
        <v>1</v>
      </c>
      <c r="I17" s="50">
        <f>+H17*G17</f>
        <v>1500</v>
      </c>
      <c r="J17" s="51">
        <f>$P$5</f>
        <v>0</v>
      </c>
      <c r="K17" s="52">
        <f t="shared" si="0"/>
        <v>0</v>
      </c>
      <c r="L17" s="53">
        <f>+K17+I17</f>
        <v>1500</v>
      </c>
      <c r="M17" s="16">
        <f>IF(L17&gt;0,1,0)</f>
        <v>1</v>
      </c>
      <c r="N17" s="45"/>
      <c r="O17" s="16"/>
      <c r="P17" s="16"/>
      <c r="Q17" s="16"/>
      <c r="R17" s="16"/>
      <c r="S17" s="16"/>
      <c r="T17" s="16"/>
    </row>
    <row r="18" spans="2:20" ht="11.25" customHeight="1" x14ac:dyDescent="0.2">
      <c r="B18" s="20">
        <v>1.3</v>
      </c>
      <c r="C18" s="45" t="s">
        <v>36</v>
      </c>
      <c r="D18" s="46" t="s">
        <v>352</v>
      </c>
      <c r="E18" s="47" t="s">
        <v>31</v>
      </c>
      <c r="F18" s="47" t="s">
        <v>31</v>
      </c>
      <c r="G18" s="8">
        <v>1500</v>
      </c>
      <c r="H18" s="49">
        <f>1-$P$5</f>
        <v>1</v>
      </c>
      <c r="I18" s="50">
        <f>+H18*G18</f>
        <v>1500</v>
      </c>
      <c r="J18" s="51">
        <f>$P$5</f>
        <v>0</v>
      </c>
      <c r="K18" s="52">
        <f t="shared" si="0"/>
        <v>0</v>
      </c>
      <c r="L18" s="53">
        <f>+K18+I18</f>
        <v>1500</v>
      </c>
      <c r="M18" s="16">
        <f>IF(L18&gt;0,1,0)</f>
        <v>1</v>
      </c>
      <c r="N18" s="45"/>
      <c r="O18" s="16"/>
      <c r="P18" s="16"/>
      <c r="Q18" s="16"/>
      <c r="R18" s="16"/>
      <c r="S18" s="16"/>
      <c r="T18" s="16"/>
    </row>
    <row r="19" spans="2:20" s="64" customFormat="1" ht="11.25" customHeight="1" thickBot="1" x14ac:dyDescent="0.25">
      <c r="B19" s="54"/>
      <c r="C19" s="55"/>
      <c r="D19" s="56"/>
      <c r="E19" s="57"/>
      <c r="F19" s="57"/>
      <c r="G19" s="58"/>
      <c r="H19" s="59"/>
      <c r="I19" s="60"/>
      <c r="J19" s="61"/>
      <c r="K19" s="62">
        <f t="shared" si="0"/>
        <v>0</v>
      </c>
      <c r="L19" s="63"/>
      <c r="M19" s="16">
        <f>IF(L19&gt;0,1,0)</f>
        <v>0</v>
      </c>
      <c r="N19" s="45"/>
    </row>
    <row r="20" spans="2:20" ht="11.25" customHeight="1" thickTop="1" thickBot="1" x14ac:dyDescent="0.25">
      <c r="B20" s="65"/>
      <c r="C20" s="66" t="s">
        <v>88</v>
      </c>
      <c r="D20" s="67" t="s">
        <v>117</v>
      </c>
      <c r="E20" s="68"/>
      <c r="F20" s="68"/>
      <c r="G20" s="69"/>
      <c r="H20" s="70"/>
      <c r="I20" s="71">
        <f>SUM(I15:I19)</f>
        <v>12000</v>
      </c>
      <c r="J20" s="72"/>
      <c r="K20" s="71">
        <f>SUM(K15:K19)</f>
        <v>0</v>
      </c>
      <c r="L20" s="74">
        <f>SUM(L15:L19)</f>
        <v>12000</v>
      </c>
      <c r="M20" s="16">
        <f>IF(L20&gt;0,1,0)</f>
        <v>1</v>
      </c>
      <c r="N20" s="45"/>
      <c r="O20" s="16"/>
      <c r="P20" s="16"/>
      <c r="Q20" s="16"/>
      <c r="R20" s="16"/>
      <c r="S20" s="16"/>
      <c r="T20" s="16"/>
    </row>
    <row r="21" spans="2:20" ht="11.25" customHeight="1" x14ac:dyDescent="0.2">
      <c r="B21" s="75">
        <v>2</v>
      </c>
      <c r="C21" s="76" t="s">
        <v>13</v>
      </c>
      <c r="D21" s="77" t="s">
        <v>118</v>
      </c>
      <c r="E21" s="78"/>
      <c r="F21" s="78"/>
      <c r="G21" s="79"/>
      <c r="H21" s="80"/>
      <c r="I21" s="50">
        <f t="shared" ref="I21" si="1">+H21*G21</f>
        <v>0</v>
      </c>
      <c r="J21" s="81"/>
      <c r="K21" s="52">
        <f t="shared" si="0"/>
        <v>0</v>
      </c>
      <c r="L21" s="82">
        <f t="shared" ref="L21" si="2">+K21+I21</f>
        <v>0</v>
      </c>
      <c r="M21" s="16">
        <v>1</v>
      </c>
      <c r="O21" s="16"/>
      <c r="P21" s="16"/>
      <c r="Q21" s="16"/>
      <c r="R21" s="16"/>
      <c r="S21" s="16"/>
      <c r="T21" s="16"/>
    </row>
    <row r="22" spans="2:20" ht="11.25" customHeight="1" x14ac:dyDescent="0.2">
      <c r="B22" s="20">
        <v>2.1</v>
      </c>
      <c r="C22" s="45" t="s">
        <v>8</v>
      </c>
      <c r="D22" s="46" t="s">
        <v>353</v>
      </c>
      <c r="E22" s="47" t="s">
        <v>31</v>
      </c>
      <c r="F22" s="47" t="s">
        <v>31</v>
      </c>
      <c r="G22" s="48">
        <f>1000+0.03*SUM(I31:I131,K31:K131)</f>
        <v>1225.18</v>
      </c>
      <c r="H22" s="84">
        <f>SUM(I$31:I$131)/(SUM(L$31:L$131)+1E-20)</f>
        <v>1</v>
      </c>
      <c r="I22" s="50">
        <f>+H22*G22</f>
        <v>1225.18</v>
      </c>
      <c r="J22" s="84">
        <f>SUM(K$31:K$131)/(SUM(L$31:L$131)+1E-20)</f>
        <v>0</v>
      </c>
      <c r="K22" s="52">
        <f t="shared" si="0"/>
        <v>0</v>
      </c>
      <c r="L22" s="53">
        <f>+K22+I22</f>
        <v>1225.18</v>
      </c>
      <c r="M22" s="16">
        <f>IF(L22&gt;0,1,0)</f>
        <v>1</v>
      </c>
      <c r="N22" s="85" t="s">
        <v>38</v>
      </c>
      <c r="O22" s="16"/>
      <c r="P22" s="16"/>
      <c r="Q22" s="16"/>
      <c r="R22" s="16"/>
      <c r="S22" s="16"/>
      <c r="T22" s="16"/>
    </row>
    <row r="23" spans="2:20" ht="11.25" customHeight="1" x14ac:dyDescent="0.2">
      <c r="B23" s="20">
        <v>2.2000000000000002</v>
      </c>
      <c r="C23" s="45" t="s">
        <v>14</v>
      </c>
      <c r="D23" s="46" t="s">
        <v>354</v>
      </c>
      <c r="E23" s="47"/>
      <c r="F23" s="47"/>
      <c r="G23" s="48"/>
      <c r="H23" s="49"/>
      <c r="I23" s="50">
        <f t="shared" ref="I23:I82" si="3">+H23*G23</f>
        <v>0</v>
      </c>
      <c r="J23" s="51"/>
      <c r="K23" s="52">
        <f t="shared" si="0"/>
        <v>0</v>
      </c>
      <c r="L23" s="53">
        <f t="shared" ref="L23:L82" si="4">+K23+I23</f>
        <v>0</v>
      </c>
      <c r="M23" s="16">
        <v>1</v>
      </c>
      <c r="O23" s="16"/>
      <c r="P23" s="16"/>
      <c r="Q23" s="16"/>
      <c r="R23" s="16"/>
      <c r="S23" s="16"/>
      <c r="T23" s="16"/>
    </row>
    <row r="24" spans="2:20" ht="11.25" customHeight="1" x14ac:dyDescent="0.2">
      <c r="B24" s="20" t="s">
        <v>238</v>
      </c>
      <c r="C24" s="86" t="s">
        <v>82</v>
      </c>
      <c r="D24" s="141" t="s">
        <v>355</v>
      </c>
      <c r="E24" s="47" t="s">
        <v>31</v>
      </c>
      <c r="F24" s="47" t="s">
        <v>31</v>
      </c>
      <c r="G24" s="48">
        <f>1500+0.1*SUM(I31:I148,K31:K148)</f>
        <v>2250.6</v>
      </c>
      <c r="H24" s="83">
        <f>SUM(I31:I148)/(SUM($L31:$L148)+1E-20)</f>
        <v>1</v>
      </c>
      <c r="I24" s="50">
        <f t="shared" si="3"/>
        <v>2250.6</v>
      </c>
      <c r="J24" s="83">
        <f>SUM(K31:K148)/(SUM($L31:$L148)+1E-20)</f>
        <v>0</v>
      </c>
      <c r="K24" s="52">
        <f t="shared" si="0"/>
        <v>0</v>
      </c>
      <c r="L24" s="53">
        <f t="shared" si="4"/>
        <v>2250.6</v>
      </c>
      <c r="M24" s="16">
        <f>IF(L24&gt;0,1,0)</f>
        <v>1</v>
      </c>
      <c r="N24" s="85" t="s">
        <v>37</v>
      </c>
      <c r="O24" s="16"/>
      <c r="P24" s="16"/>
      <c r="Q24" s="16"/>
      <c r="R24" s="16"/>
      <c r="S24" s="16"/>
      <c r="T24" s="16"/>
    </row>
    <row r="25" spans="2:20" ht="11.25" customHeight="1" x14ac:dyDescent="0.2">
      <c r="B25" s="20" t="s">
        <v>239</v>
      </c>
      <c r="C25" s="86" t="s">
        <v>83</v>
      </c>
      <c r="D25" s="141" t="s">
        <v>119</v>
      </c>
      <c r="E25" s="47" t="s">
        <v>31</v>
      </c>
      <c r="F25" s="47" t="s">
        <v>31</v>
      </c>
      <c r="G25" s="88">
        <f>+SUM(I149:I225)*0.4+IF(SUM(I149:I225,K149:K225)&gt;0,500,0)</f>
        <v>0</v>
      </c>
      <c r="H25" s="83">
        <f>+SUM(I149:I225)/(SUM(L149:L225)+1E-20)</f>
        <v>0</v>
      </c>
      <c r="I25" s="50">
        <f t="shared" si="3"/>
        <v>0</v>
      </c>
      <c r="J25" s="83">
        <f>+SUM(K149:K225)/(SUM(L149:L225)+1E-20)</f>
        <v>0</v>
      </c>
      <c r="K25" s="52">
        <f t="shared" si="0"/>
        <v>0</v>
      </c>
      <c r="L25" s="53">
        <f t="shared" si="4"/>
        <v>0</v>
      </c>
      <c r="M25" s="16">
        <f>IF(L25&gt;0,1,0)</f>
        <v>0</v>
      </c>
      <c r="N25" s="85" t="s">
        <v>177</v>
      </c>
      <c r="O25" s="16"/>
      <c r="P25" s="16"/>
      <c r="Q25" s="16"/>
      <c r="R25" s="16"/>
      <c r="S25" s="16"/>
      <c r="T25" s="16"/>
    </row>
    <row r="26" spans="2:20" s="64" customFormat="1" ht="11.25" customHeight="1" x14ac:dyDescent="0.2">
      <c r="B26" s="20" t="s">
        <v>240</v>
      </c>
      <c r="C26" s="86" t="s">
        <v>105</v>
      </c>
      <c r="D26" s="141" t="s">
        <v>120</v>
      </c>
      <c r="E26" s="47"/>
      <c r="F26" s="47"/>
      <c r="G26" s="48"/>
      <c r="H26" s="49"/>
      <c r="I26" s="50">
        <f t="shared" si="3"/>
        <v>0</v>
      </c>
      <c r="J26" s="51"/>
      <c r="K26" s="52">
        <f t="shared" si="0"/>
        <v>0</v>
      </c>
      <c r="L26" s="53">
        <f t="shared" si="4"/>
        <v>0</v>
      </c>
      <c r="M26" s="16">
        <f>IF(SUM(M27:M28)&gt;0,1,0)</f>
        <v>0</v>
      </c>
      <c r="N26" s="13" t="s">
        <v>282</v>
      </c>
    </row>
    <row r="27" spans="2:20" ht="11.25" customHeight="1" x14ac:dyDescent="0.2">
      <c r="B27" s="20" t="s">
        <v>241</v>
      </c>
      <c r="C27" s="89" t="s">
        <v>104</v>
      </c>
      <c r="D27" s="142" t="s">
        <v>356</v>
      </c>
      <c r="E27" s="47" t="s">
        <v>31</v>
      </c>
      <c r="F27" s="47" t="s">
        <v>31</v>
      </c>
      <c r="G27" s="48">
        <v>1500</v>
      </c>
      <c r="H27" s="1"/>
      <c r="I27" s="50">
        <f t="shared" si="3"/>
        <v>0</v>
      </c>
      <c r="J27" s="1"/>
      <c r="K27" s="52">
        <f t="shared" si="0"/>
        <v>0</v>
      </c>
      <c r="L27" s="53">
        <f t="shared" si="4"/>
        <v>0</v>
      </c>
      <c r="M27" s="16">
        <f>IF(L27&gt;0,1,0)</f>
        <v>0</v>
      </c>
      <c r="O27" s="16" t="s">
        <v>281</v>
      </c>
      <c r="P27" s="16"/>
      <c r="Q27" s="16"/>
      <c r="R27" s="16"/>
      <c r="S27" s="16"/>
      <c r="T27" s="16"/>
    </row>
    <row r="28" spans="2:20" ht="11.25" customHeight="1" x14ac:dyDescent="0.2">
      <c r="B28" s="20" t="s">
        <v>242</v>
      </c>
      <c r="C28" s="89" t="s">
        <v>170</v>
      </c>
      <c r="D28" s="142" t="s">
        <v>115</v>
      </c>
      <c r="E28" s="90" t="s">
        <v>166</v>
      </c>
      <c r="F28" s="47" t="s">
        <v>33</v>
      </c>
      <c r="G28" s="48">
        <v>900</v>
      </c>
      <c r="H28" s="1"/>
      <c r="I28" s="50">
        <f t="shared" si="3"/>
        <v>0</v>
      </c>
      <c r="J28" s="1"/>
      <c r="K28" s="52">
        <f t="shared" si="0"/>
        <v>0</v>
      </c>
      <c r="L28" s="53">
        <f t="shared" si="4"/>
        <v>0</v>
      </c>
      <c r="M28" s="16">
        <f>IF(L28&gt;0,1,0)</f>
        <v>0</v>
      </c>
      <c r="O28" s="16" t="s">
        <v>280</v>
      </c>
      <c r="P28" s="16"/>
      <c r="Q28" s="16"/>
      <c r="R28" s="16"/>
      <c r="S28" s="16"/>
      <c r="T28" s="16"/>
    </row>
    <row r="29" spans="2:20" ht="11.25" customHeight="1" x14ac:dyDescent="0.2">
      <c r="B29" s="20" t="s">
        <v>272</v>
      </c>
      <c r="C29" s="86" t="s">
        <v>84</v>
      </c>
      <c r="D29" s="141" t="s">
        <v>121</v>
      </c>
      <c r="E29" s="47" t="s">
        <v>31</v>
      </c>
      <c r="F29" s="47" t="s">
        <v>31</v>
      </c>
      <c r="G29" s="48">
        <v>2500</v>
      </c>
      <c r="H29" s="49">
        <f>1-$P$5</f>
        <v>1</v>
      </c>
      <c r="I29" s="50">
        <f>+H29*G29</f>
        <v>2500</v>
      </c>
      <c r="J29" s="51">
        <f>$P$5</f>
        <v>0</v>
      </c>
      <c r="K29" s="52">
        <f t="shared" si="0"/>
        <v>0</v>
      </c>
      <c r="L29" s="53">
        <f t="shared" si="4"/>
        <v>2500</v>
      </c>
      <c r="M29" s="16">
        <f>IF(L29&gt;0,1,0)</f>
        <v>1</v>
      </c>
      <c r="O29" s="16"/>
      <c r="P29" s="16"/>
      <c r="Q29" s="16"/>
      <c r="R29" s="16"/>
      <c r="S29" s="16"/>
      <c r="T29" s="16"/>
    </row>
    <row r="30" spans="2:20" ht="11.25" customHeight="1" x14ac:dyDescent="0.2">
      <c r="B30" s="20">
        <v>2.2999999999999998</v>
      </c>
      <c r="C30" s="91" t="s">
        <v>15</v>
      </c>
      <c r="D30" s="46" t="s">
        <v>122</v>
      </c>
      <c r="E30" s="47"/>
      <c r="F30" s="47"/>
      <c r="G30" s="48"/>
      <c r="H30" s="49"/>
      <c r="I30" s="50">
        <f t="shared" si="3"/>
        <v>0</v>
      </c>
      <c r="J30" s="51"/>
      <c r="K30" s="52">
        <f t="shared" si="0"/>
        <v>0</v>
      </c>
      <c r="L30" s="53">
        <f t="shared" si="4"/>
        <v>0</v>
      </c>
      <c r="M30" s="16">
        <v>1</v>
      </c>
      <c r="N30" s="13" t="s">
        <v>381</v>
      </c>
      <c r="O30" s="16"/>
      <c r="P30" s="16"/>
      <c r="Q30" s="16"/>
      <c r="R30" s="16"/>
      <c r="S30" s="16"/>
      <c r="T30" s="16"/>
    </row>
    <row r="31" spans="2:20" ht="11.25" customHeight="1" x14ac:dyDescent="0.2">
      <c r="B31" s="20" t="s">
        <v>243</v>
      </c>
      <c r="C31" s="92" t="s">
        <v>16</v>
      </c>
      <c r="D31" s="141" t="s">
        <v>304</v>
      </c>
      <c r="E31" s="47"/>
      <c r="F31" s="47"/>
      <c r="G31" s="48"/>
      <c r="H31" s="49"/>
      <c r="I31" s="50">
        <f t="shared" si="3"/>
        <v>0</v>
      </c>
      <c r="J31" s="51"/>
      <c r="K31" s="52">
        <f t="shared" si="0"/>
        <v>0</v>
      </c>
      <c r="L31" s="53">
        <f t="shared" si="4"/>
        <v>0</v>
      </c>
      <c r="M31" s="16">
        <v>1</v>
      </c>
      <c r="O31" s="16"/>
      <c r="P31" s="16"/>
      <c r="Q31" s="16"/>
      <c r="R31" s="16"/>
      <c r="S31" s="16"/>
      <c r="T31" s="16"/>
    </row>
    <row r="32" spans="2:20" s="98" customFormat="1" ht="11.25" customHeight="1" x14ac:dyDescent="0.2">
      <c r="B32" s="93"/>
      <c r="C32" s="94" t="s">
        <v>43</v>
      </c>
      <c r="D32" s="95" t="s">
        <v>357</v>
      </c>
      <c r="E32" s="90" t="s">
        <v>31</v>
      </c>
      <c r="F32" s="90" t="s">
        <v>31</v>
      </c>
      <c r="G32" s="96">
        <v>475</v>
      </c>
      <c r="H32" s="49">
        <f t="shared" ref="H32:H37" si="5">1-$P$5</f>
        <v>1</v>
      </c>
      <c r="I32" s="50">
        <f t="shared" ref="I32:I39" si="6">+H32*G32</f>
        <v>475</v>
      </c>
      <c r="J32" s="83">
        <f>SUM(K$39:K$131)/(SUM($L$39:$L$131)+1E-20)</f>
        <v>0</v>
      </c>
      <c r="K32" s="52">
        <f t="shared" ref="K32:K39" si="7">+J32*G32</f>
        <v>0</v>
      </c>
      <c r="L32" s="97">
        <f t="shared" si="4"/>
        <v>475</v>
      </c>
      <c r="M32" s="16">
        <f t="shared" ref="M32:M37" si="8">IF(L32&gt;0,1,0)</f>
        <v>1</v>
      </c>
      <c r="N32" s="13">
        <v>450</v>
      </c>
      <c r="O32" s="16"/>
      <c r="P32" s="16"/>
      <c r="Q32" s="16"/>
      <c r="R32" s="16"/>
      <c r="S32" s="16"/>
    </row>
    <row r="33" spans="2:20" s="98" customFormat="1" ht="11.25" customHeight="1" x14ac:dyDescent="0.2">
      <c r="B33" s="93"/>
      <c r="C33" s="94" t="s">
        <v>44</v>
      </c>
      <c r="D33" s="95" t="s">
        <v>358</v>
      </c>
      <c r="E33" s="90" t="s">
        <v>31</v>
      </c>
      <c r="F33" s="90" t="s">
        <v>31</v>
      </c>
      <c r="G33" s="8">
        <v>581</v>
      </c>
      <c r="H33" s="49">
        <f t="shared" si="5"/>
        <v>1</v>
      </c>
      <c r="I33" s="50">
        <f t="shared" si="6"/>
        <v>581</v>
      </c>
      <c r="J33" s="83">
        <f>SUM(K$39:K$131)/(SUM($L$39:$L$131)+1E-20)</f>
        <v>0</v>
      </c>
      <c r="K33" s="52">
        <f t="shared" si="7"/>
        <v>0</v>
      </c>
      <c r="L33" s="97">
        <f t="shared" si="4"/>
        <v>581</v>
      </c>
      <c r="M33" s="16">
        <f t="shared" si="8"/>
        <v>1</v>
      </c>
      <c r="N33" s="13">
        <f>200+4/5*350</f>
        <v>480</v>
      </c>
      <c r="O33" s="16"/>
      <c r="P33" s="16"/>
      <c r="Q33" s="16"/>
      <c r="R33" s="16"/>
      <c r="S33" s="16"/>
    </row>
    <row r="34" spans="2:20" s="98" customFormat="1" ht="11.25" customHeight="1" x14ac:dyDescent="0.2">
      <c r="B34" s="93"/>
      <c r="C34" s="94" t="s">
        <v>382</v>
      </c>
      <c r="D34" s="95" t="s">
        <v>182</v>
      </c>
      <c r="E34" s="90" t="s">
        <v>31</v>
      </c>
      <c r="F34" s="90" t="s">
        <v>31</v>
      </c>
      <c r="G34" s="8">
        <v>250</v>
      </c>
      <c r="H34" s="49">
        <f t="shared" si="5"/>
        <v>1</v>
      </c>
      <c r="I34" s="50">
        <f t="shared" si="6"/>
        <v>250</v>
      </c>
      <c r="J34" s="83">
        <f>SUM(K$39:K$131)/(SUM($L$39:$L$131)+1E-20)</f>
        <v>0</v>
      </c>
      <c r="K34" s="52">
        <f t="shared" si="7"/>
        <v>0</v>
      </c>
      <c r="L34" s="97">
        <f t="shared" si="4"/>
        <v>250</v>
      </c>
      <c r="M34" s="16">
        <f t="shared" si="8"/>
        <v>1</v>
      </c>
      <c r="N34" s="13">
        <f>25*10</f>
        <v>250</v>
      </c>
      <c r="O34" s="16"/>
      <c r="P34" s="16"/>
      <c r="Q34" s="16"/>
      <c r="R34" s="16"/>
      <c r="S34" s="16"/>
    </row>
    <row r="35" spans="2:20" s="98" customFormat="1" ht="11.25" customHeight="1" x14ac:dyDescent="0.2">
      <c r="B35" s="93"/>
      <c r="C35" s="94" t="s">
        <v>215</v>
      </c>
      <c r="D35" s="95" t="s">
        <v>123</v>
      </c>
      <c r="E35" s="90" t="s">
        <v>31</v>
      </c>
      <c r="F35" s="90" t="s">
        <v>31</v>
      </c>
      <c r="G35" s="96">
        <v>1500</v>
      </c>
      <c r="H35" s="49">
        <f t="shared" si="5"/>
        <v>1</v>
      </c>
      <c r="I35" s="50">
        <f t="shared" si="6"/>
        <v>1500</v>
      </c>
      <c r="J35" s="51">
        <f>SUM(K$39:K$131)/(SUM($L$39:$L$131)+1E-20)</f>
        <v>0</v>
      </c>
      <c r="K35" s="52">
        <f t="shared" si="7"/>
        <v>0</v>
      </c>
      <c r="L35" s="97">
        <f t="shared" si="4"/>
        <v>1500</v>
      </c>
      <c r="M35" s="16">
        <f t="shared" si="8"/>
        <v>1</v>
      </c>
      <c r="N35" s="13">
        <f>225+2*430+2*190</f>
        <v>1465</v>
      </c>
      <c r="O35" s="16">
        <f>800+700</f>
        <v>1500</v>
      </c>
      <c r="P35" s="16" t="s">
        <v>216</v>
      </c>
      <c r="Q35" s="16"/>
      <c r="R35" s="16"/>
      <c r="S35" s="16"/>
    </row>
    <row r="36" spans="2:20" s="98" customFormat="1" ht="11.25" customHeight="1" x14ac:dyDescent="0.2">
      <c r="B36" s="93"/>
      <c r="C36" s="94" t="s">
        <v>86</v>
      </c>
      <c r="D36" s="95" t="s">
        <v>305</v>
      </c>
      <c r="E36" s="90" t="s">
        <v>31</v>
      </c>
      <c r="F36" s="90" t="s">
        <v>31</v>
      </c>
      <c r="G36" s="96">
        <v>2500</v>
      </c>
      <c r="H36" s="49">
        <f t="shared" si="5"/>
        <v>1</v>
      </c>
      <c r="I36" s="50">
        <f t="shared" si="6"/>
        <v>2500</v>
      </c>
      <c r="J36" s="51">
        <f>SUM(K$39:K$131)/(SUM($L$39:$L$131)+1E-20)</f>
        <v>0</v>
      </c>
      <c r="K36" s="52">
        <f t="shared" si="7"/>
        <v>0</v>
      </c>
      <c r="L36" s="97">
        <f t="shared" si="4"/>
        <v>2500</v>
      </c>
      <c r="M36" s="16">
        <f t="shared" si="8"/>
        <v>1</v>
      </c>
      <c r="N36" s="13">
        <f>1000+640+175+0.65*1000</f>
        <v>2465</v>
      </c>
      <c r="O36" s="16"/>
      <c r="P36" s="16" t="s">
        <v>217</v>
      </c>
      <c r="Q36" s="16"/>
      <c r="R36" s="16"/>
      <c r="S36" s="16"/>
    </row>
    <row r="37" spans="2:20" s="98" customFormat="1" ht="11.25" customHeight="1" x14ac:dyDescent="0.2">
      <c r="B37" s="93"/>
      <c r="C37" s="94" t="s">
        <v>185</v>
      </c>
      <c r="D37" s="145" t="s">
        <v>359</v>
      </c>
      <c r="E37" s="90" t="s">
        <v>31</v>
      </c>
      <c r="F37" s="90" t="s">
        <v>31</v>
      </c>
      <c r="G37" s="8">
        <v>2200</v>
      </c>
      <c r="H37" s="49">
        <f t="shared" si="5"/>
        <v>1</v>
      </c>
      <c r="I37" s="50">
        <f t="shared" si="6"/>
        <v>2200</v>
      </c>
      <c r="J37" s="83">
        <f>SUM(K$39:K$131)/(SUM($L$39:$L$131)+1E-20)</f>
        <v>0</v>
      </c>
      <c r="K37" s="52">
        <f t="shared" si="7"/>
        <v>0</v>
      </c>
      <c r="L37" s="97">
        <f t="shared" si="4"/>
        <v>2200</v>
      </c>
      <c r="M37" s="16">
        <f t="shared" si="8"/>
        <v>1</v>
      </c>
      <c r="N37" s="13">
        <f>634+581+393+581</f>
        <v>2189</v>
      </c>
      <c r="O37" s="16"/>
      <c r="P37" s="16" t="s">
        <v>218</v>
      </c>
      <c r="Q37" s="16"/>
      <c r="R37" s="16"/>
      <c r="S37" s="16"/>
    </row>
    <row r="38" spans="2:20" s="98" customFormat="1" x14ac:dyDescent="0.2">
      <c r="B38" s="93"/>
      <c r="C38" s="11" t="s">
        <v>186</v>
      </c>
      <c r="D38" s="144" t="s">
        <v>306</v>
      </c>
      <c r="E38" s="90" t="s">
        <v>31</v>
      </c>
      <c r="F38" s="90" t="s">
        <v>31</v>
      </c>
      <c r="G38" s="8"/>
      <c r="H38" s="83">
        <f t="shared" ref="H32:J38" si="9">SUM(I$39:I$131)/(SUM(L$39:L$131)+1E-20)</f>
        <v>0</v>
      </c>
      <c r="I38" s="50">
        <f t="shared" ref="I38" si="10">+H38*G38</f>
        <v>0</v>
      </c>
      <c r="J38" s="51"/>
      <c r="K38" s="52">
        <f t="shared" ref="K38" si="11">+J38*G38</f>
        <v>0</v>
      </c>
      <c r="L38" s="97">
        <f t="shared" ref="L38" si="12">+K38+I38</f>
        <v>0</v>
      </c>
      <c r="M38" s="16">
        <f>IF(OR(L38&gt;0,H38+J38&gt;0),1,0)</f>
        <v>0</v>
      </c>
      <c r="N38" s="13"/>
      <c r="O38" s="16"/>
      <c r="P38" s="16"/>
      <c r="Q38" s="16"/>
      <c r="R38" s="16"/>
      <c r="S38" s="16"/>
    </row>
    <row r="39" spans="2:20" ht="11.25" customHeight="1" x14ac:dyDescent="0.2">
      <c r="B39" s="20" t="s">
        <v>244</v>
      </c>
      <c r="C39" s="86" t="s">
        <v>81</v>
      </c>
      <c r="D39" s="141" t="s">
        <v>125</v>
      </c>
      <c r="E39" s="47"/>
      <c r="F39" s="47"/>
      <c r="G39" s="48"/>
      <c r="H39" s="49"/>
      <c r="I39" s="50">
        <f t="shared" si="6"/>
        <v>0</v>
      </c>
      <c r="J39" s="51"/>
      <c r="K39" s="52">
        <f t="shared" si="7"/>
        <v>0</v>
      </c>
      <c r="L39" s="53">
        <f t="shared" si="4"/>
        <v>0</v>
      </c>
      <c r="M39" s="16">
        <f>IF(SUM(M40:M45)&gt;0,1,0)</f>
        <v>0</v>
      </c>
      <c r="O39" s="16"/>
      <c r="P39" s="16"/>
      <c r="Q39" s="16"/>
      <c r="R39" s="16"/>
      <c r="S39" s="16"/>
      <c r="T39" s="16"/>
    </row>
    <row r="40" spans="2:20" s="98" customFormat="1" ht="11.25" customHeight="1" x14ac:dyDescent="0.2">
      <c r="B40" s="93"/>
      <c r="C40" s="99" t="s">
        <v>93</v>
      </c>
      <c r="D40" s="100" t="s">
        <v>307</v>
      </c>
      <c r="E40" s="90" t="s">
        <v>6</v>
      </c>
      <c r="F40" s="90" t="s">
        <v>6</v>
      </c>
      <c r="G40" s="101">
        <v>10</v>
      </c>
      <c r="H40" s="7"/>
      <c r="I40" s="50">
        <f t="shared" si="3"/>
        <v>0</v>
      </c>
      <c r="J40" s="7"/>
      <c r="K40" s="52">
        <f t="shared" si="0"/>
        <v>0</v>
      </c>
      <c r="L40" s="97">
        <f t="shared" si="4"/>
        <v>0</v>
      </c>
      <c r="M40" s="16">
        <f t="shared" ref="M40:M44" si="13">IF(L40&gt;0,1,0)</f>
        <v>0</v>
      </c>
      <c r="N40" s="13">
        <f>0.4*6.34+0.3*(6.34+0.2*7)+0.3*(14.6+0.2*19.3)</f>
        <v>10.396000000000001</v>
      </c>
      <c r="O40" s="16"/>
      <c r="P40" s="16" t="s">
        <v>219</v>
      </c>
      <c r="Q40" s="16"/>
      <c r="R40" s="16"/>
      <c r="S40" s="16"/>
    </row>
    <row r="41" spans="2:20" s="98" customFormat="1" ht="11.25" customHeight="1" x14ac:dyDescent="0.2">
      <c r="B41" s="93"/>
      <c r="C41" s="99" t="s">
        <v>187</v>
      </c>
      <c r="D41" s="146" t="s">
        <v>308</v>
      </c>
      <c r="E41" s="90" t="s">
        <v>4</v>
      </c>
      <c r="F41" s="90" t="s">
        <v>4</v>
      </c>
      <c r="G41" s="101">
        <v>15</v>
      </c>
      <c r="H41" s="7"/>
      <c r="I41" s="50">
        <f t="shared" si="3"/>
        <v>0</v>
      </c>
      <c r="J41" s="7"/>
      <c r="K41" s="52">
        <f t="shared" si="0"/>
        <v>0</v>
      </c>
      <c r="L41" s="97">
        <f t="shared" si="4"/>
        <v>0</v>
      </c>
      <c r="M41" s="16">
        <f t="shared" si="13"/>
        <v>0</v>
      </c>
      <c r="N41" s="13"/>
      <c r="O41" s="16"/>
      <c r="P41" s="16" t="s">
        <v>228</v>
      </c>
      <c r="Q41" s="16"/>
      <c r="R41" s="16"/>
      <c r="S41" s="16"/>
    </row>
    <row r="42" spans="2:20" s="98" customFormat="1" ht="11.25" customHeight="1" x14ac:dyDescent="0.2">
      <c r="B42" s="93"/>
      <c r="C42" s="99" t="s">
        <v>188</v>
      </c>
      <c r="D42" s="146" t="s">
        <v>309</v>
      </c>
      <c r="E42" s="90" t="s">
        <v>4</v>
      </c>
      <c r="F42" s="90" t="s">
        <v>4</v>
      </c>
      <c r="G42" s="101">
        <v>25</v>
      </c>
      <c r="H42" s="7"/>
      <c r="I42" s="50">
        <f t="shared" si="3"/>
        <v>0</v>
      </c>
      <c r="J42" s="7"/>
      <c r="K42" s="52">
        <f t="shared" si="0"/>
        <v>0</v>
      </c>
      <c r="L42" s="97">
        <f t="shared" si="4"/>
        <v>0</v>
      </c>
      <c r="M42" s="16">
        <f t="shared" si="13"/>
        <v>0</v>
      </c>
      <c r="N42" s="13"/>
      <c r="O42" s="16"/>
      <c r="P42" s="16" t="s">
        <v>228</v>
      </c>
      <c r="Q42" s="16"/>
      <c r="R42" s="16"/>
      <c r="S42" s="16"/>
    </row>
    <row r="43" spans="2:20" s="98" customFormat="1" ht="11.25" customHeight="1" x14ac:dyDescent="0.2">
      <c r="B43" s="93"/>
      <c r="C43" s="99" t="s">
        <v>48</v>
      </c>
      <c r="D43" s="100" t="s">
        <v>310</v>
      </c>
      <c r="E43" s="90" t="s">
        <v>4</v>
      </c>
      <c r="F43" s="90" t="s">
        <v>4</v>
      </c>
      <c r="G43" s="101">
        <v>79.2</v>
      </c>
      <c r="H43" s="7"/>
      <c r="I43" s="50">
        <f t="shared" si="3"/>
        <v>0</v>
      </c>
      <c r="J43" s="7"/>
      <c r="K43" s="52">
        <f t="shared" si="0"/>
        <v>0</v>
      </c>
      <c r="L43" s="97">
        <f t="shared" si="4"/>
        <v>0</v>
      </c>
      <c r="M43" s="16">
        <f t="shared" si="13"/>
        <v>0</v>
      </c>
      <c r="N43" s="13">
        <v>79.2</v>
      </c>
      <c r="O43" s="16"/>
      <c r="P43" s="16"/>
      <c r="Q43" s="16"/>
      <c r="R43" s="16"/>
      <c r="S43" s="16"/>
    </row>
    <row r="44" spans="2:20" s="98" customFormat="1" ht="11.25" customHeight="1" x14ac:dyDescent="0.2">
      <c r="B44" s="93"/>
      <c r="C44" s="99" t="s">
        <v>49</v>
      </c>
      <c r="D44" s="100" t="s">
        <v>311</v>
      </c>
      <c r="E44" s="90" t="s">
        <v>4</v>
      </c>
      <c r="F44" s="90" t="s">
        <v>4</v>
      </c>
      <c r="G44" s="101">
        <v>106</v>
      </c>
      <c r="H44" s="7"/>
      <c r="I44" s="50">
        <f t="shared" si="3"/>
        <v>0</v>
      </c>
      <c r="J44" s="7"/>
      <c r="K44" s="52">
        <f t="shared" si="0"/>
        <v>0</v>
      </c>
      <c r="L44" s="97">
        <f t="shared" si="4"/>
        <v>0</v>
      </c>
      <c r="M44" s="16">
        <f t="shared" si="13"/>
        <v>0</v>
      </c>
      <c r="N44" s="13">
        <v>106</v>
      </c>
      <c r="O44" s="16"/>
      <c r="P44" s="16"/>
      <c r="Q44" s="16"/>
      <c r="R44" s="16"/>
      <c r="S44" s="16"/>
    </row>
    <row r="45" spans="2:20" s="98" customFormat="1" ht="11.25" customHeight="1" x14ac:dyDescent="0.2">
      <c r="B45" s="93"/>
      <c r="C45" s="11" t="s">
        <v>63</v>
      </c>
      <c r="D45" s="144" t="s">
        <v>124</v>
      </c>
      <c r="E45" s="143"/>
      <c r="F45" s="143"/>
      <c r="G45" s="8"/>
      <c r="H45" s="7"/>
      <c r="I45" s="50">
        <f t="shared" si="3"/>
        <v>0</v>
      </c>
      <c r="J45" s="7"/>
      <c r="K45" s="52">
        <f t="shared" si="0"/>
        <v>0</v>
      </c>
      <c r="L45" s="97">
        <f t="shared" si="4"/>
        <v>0</v>
      </c>
      <c r="M45" s="16">
        <f>IF(OR(L45&gt;0,H45+J45&gt;0),1,0)</f>
        <v>0</v>
      </c>
      <c r="N45" s="13"/>
      <c r="O45" s="16"/>
      <c r="P45" s="16"/>
      <c r="Q45" s="16"/>
      <c r="R45" s="16"/>
      <c r="S45" s="16"/>
    </row>
    <row r="46" spans="2:20" ht="11.25" customHeight="1" x14ac:dyDescent="0.2">
      <c r="B46" s="20" t="s">
        <v>245</v>
      </c>
      <c r="C46" s="86" t="s">
        <v>169</v>
      </c>
      <c r="D46" s="141" t="s">
        <v>360</v>
      </c>
      <c r="E46" s="47"/>
      <c r="F46" s="47"/>
      <c r="G46" s="48"/>
      <c r="H46" s="49"/>
      <c r="I46" s="50">
        <f t="shared" si="3"/>
        <v>0</v>
      </c>
      <c r="J46" s="49"/>
      <c r="K46" s="52">
        <f t="shared" si="0"/>
        <v>0</v>
      </c>
      <c r="L46" s="53">
        <f t="shared" si="4"/>
        <v>0</v>
      </c>
      <c r="M46" s="16">
        <f>IF(SUM(M47:M50)&gt;0,1,0)</f>
        <v>0</v>
      </c>
      <c r="O46" s="16"/>
      <c r="P46" s="16"/>
      <c r="Q46" s="16"/>
      <c r="R46" s="16"/>
      <c r="S46" s="16"/>
      <c r="T46" s="16"/>
    </row>
    <row r="47" spans="2:20" s="98" customFormat="1" ht="11.25" customHeight="1" x14ac:dyDescent="0.2">
      <c r="B47" s="93"/>
      <c r="C47" s="102" t="s">
        <v>222</v>
      </c>
      <c r="D47" s="145" t="s">
        <v>312</v>
      </c>
      <c r="E47" s="90" t="s">
        <v>31</v>
      </c>
      <c r="F47" s="90" t="s">
        <v>31</v>
      </c>
      <c r="G47" s="101">
        <v>950</v>
      </c>
      <c r="H47" s="7"/>
      <c r="I47" s="50">
        <f t="shared" si="3"/>
        <v>0</v>
      </c>
      <c r="J47" s="7"/>
      <c r="K47" s="52">
        <f t="shared" si="0"/>
        <v>0</v>
      </c>
      <c r="L47" s="97">
        <f t="shared" si="4"/>
        <v>0</v>
      </c>
      <c r="M47" s="16">
        <f>IF(L47&gt;0,1,0)</f>
        <v>0</v>
      </c>
      <c r="N47" s="13">
        <f>158+317+475</f>
        <v>950</v>
      </c>
      <c r="O47" s="16"/>
      <c r="P47" s="16" t="s">
        <v>221</v>
      </c>
      <c r="Q47" s="16"/>
      <c r="R47" s="16"/>
      <c r="S47" s="16"/>
    </row>
    <row r="48" spans="2:20" s="98" customFormat="1" ht="11.25" customHeight="1" x14ac:dyDescent="0.2">
      <c r="B48" s="93"/>
      <c r="C48" s="99" t="s">
        <v>106</v>
      </c>
      <c r="D48" s="146" t="s">
        <v>361</v>
      </c>
      <c r="E48" s="47" t="s">
        <v>4</v>
      </c>
      <c r="F48" s="90" t="s">
        <v>46</v>
      </c>
      <c r="G48" s="101">
        <v>100</v>
      </c>
      <c r="H48" s="7"/>
      <c r="I48" s="50">
        <f t="shared" si="3"/>
        <v>0</v>
      </c>
      <c r="J48" s="7"/>
      <c r="K48" s="52">
        <f t="shared" si="0"/>
        <v>0</v>
      </c>
      <c r="L48" s="97">
        <f t="shared" si="4"/>
        <v>0</v>
      </c>
      <c r="M48" s="16">
        <f>IF(L48&gt;0,1,0)</f>
        <v>0</v>
      </c>
      <c r="N48" s="13" t="s">
        <v>223</v>
      </c>
      <c r="O48" s="16">
        <f>150+500+425+1.5*3.5*0.2*100+0.15*0.1*5000+15*5</f>
        <v>1330</v>
      </c>
      <c r="P48" s="16"/>
      <c r="Q48" s="16"/>
      <c r="R48" s="16"/>
      <c r="S48" s="16"/>
    </row>
    <row r="49" spans="2:20" s="98" customFormat="1" ht="11.25" customHeight="1" x14ac:dyDescent="0.2">
      <c r="B49" s="93"/>
      <c r="C49" s="99" t="s">
        <v>107</v>
      </c>
      <c r="D49" s="100" t="s">
        <v>126</v>
      </c>
      <c r="E49" s="90" t="s">
        <v>166</v>
      </c>
      <c r="F49" s="90" t="s">
        <v>33</v>
      </c>
      <c r="G49" s="101">
        <v>850</v>
      </c>
      <c r="H49" s="7"/>
      <c r="I49" s="50">
        <f t="shared" si="3"/>
        <v>0</v>
      </c>
      <c r="J49" s="7"/>
      <c r="K49" s="52">
        <f t="shared" si="0"/>
        <v>0</v>
      </c>
      <c r="L49" s="97">
        <f t="shared" si="4"/>
        <v>0</v>
      </c>
      <c r="M49" s="16">
        <f>IF(L49&gt;0,1,0)</f>
        <v>0</v>
      </c>
      <c r="N49" s="13" t="s">
        <v>224</v>
      </c>
      <c r="O49" s="16">
        <f>150+650+725+1.9*5.5*0.2*100+0.15*0.1*13000+15*13</f>
        <v>2124</v>
      </c>
      <c r="P49" s="16" t="s">
        <v>226</v>
      </c>
      <c r="Q49" s="16"/>
      <c r="R49" s="16"/>
      <c r="S49" s="16"/>
    </row>
    <row r="50" spans="2:20" s="98" customFormat="1" ht="11.25" customHeight="1" x14ac:dyDescent="0.2">
      <c r="B50" s="93"/>
      <c r="C50" s="11" t="s">
        <v>63</v>
      </c>
      <c r="D50" s="144" t="s">
        <v>124</v>
      </c>
      <c r="E50" s="143"/>
      <c r="F50" s="143"/>
      <c r="G50" s="8"/>
      <c r="H50" s="7"/>
      <c r="I50" s="50">
        <f t="shared" si="3"/>
        <v>0</v>
      </c>
      <c r="J50" s="7"/>
      <c r="K50" s="52">
        <f t="shared" si="0"/>
        <v>0</v>
      </c>
      <c r="L50" s="97">
        <f t="shared" si="4"/>
        <v>0</v>
      </c>
      <c r="M50" s="16">
        <f>IF(OR(L50&gt;0,H50+J50&gt;0),1,0)</f>
        <v>0</v>
      </c>
      <c r="N50" s="13" t="s">
        <v>225</v>
      </c>
      <c r="O50" s="16">
        <f>150+800+1100+2*10.65*0.2*100+0.15*0.1*30000+15*30</f>
        <v>3376</v>
      </c>
      <c r="P50" s="16"/>
      <c r="Q50" s="16"/>
      <c r="R50" s="16"/>
      <c r="S50" s="16"/>
    </row>
    <row r="51" spans="2:20" ht="11.25" customHeight="1" x14ac:dyDescent="0.2">
      <c r="B51" s="20" t="s">
        <v>246</v>
      </c>
      <c r="C51" s="86" t="s">
        <v>87</v>
      </c>
      <c r="D51" s="141" t="s">
        <v>362</v>
      </c>
      <c r="E51" s="47" t="s">
        <v>4</v>
      </c>
      <c r="F51" s="47" t="s">
        <v>4</v>
      </c>
      <c r="G51" s="48">
        <v>23</v>
      </c>
      <c r="H51" s="2"/>
      <c r="I51" s="50">
        <f t="shared" si="3"/>
        <v>0</v>
      </c>
      <c r="J51" s="2"/>
      <c r="K51" s="52">
        <f t="shared" si="0"/>
        <v>0</v>
      </c>
      <c r="L51" s="53">
        <f t="shared" si="4"/>
        <v>0</v>
      </c>
      <c r="M51" s="16">
        <f>IF(L51&gt;0,1,0)</f>
        <v>0</v>
      </c>
      <c r="N51" s="13">
        <f>5+15+(4.5-2/1.8)</f>
        <v>23.388888888888889</v>
      </c>
      <c r="O51" s="16"/>
      <c r="P51" s="16" t="s">
        <v>220</v>
      </c>
      <c r="Q51" s="16"/>
      <c r="R51" s="16"/>
      <c r="S51" s="16"/>
      <c r="T51" s="16"/>
    </row>
    <row r="52" spans="2:20" ht="11.25" customHeight="1" x14ac:dyDescent="0.2">
      <c r="B52" s="20" t="s">
        <v>247</v>
      </c>
      <c r="C52" s="86" t="s">
        <v>175</v>
      </c>
      <c r="D52" s="141" t="s">
        <v>313</v>
      </c>
      <c r="E52" s="47"/>
      <c r="F52" s="47"/>
      <c r="G52" s="48"/>
      <c r="H52" s="49"/>
      <c r="I52" s="50">
        <f t="shared" si="3"/>
        <v>0</v>
      </c>
      <c r="J52" s="49"/>
      <c r="K52" s="52">
        <f t="shared" si="0"/>
        <v>0</v>
      </c>
      <c r="L52" s="53">
        <f t="shared" si="4"/>
        <v>0</v>
      </c>
      <c r="M52" s="16">
        <f>IF(SUM(M53:M59)&gt;0,1,0)</f>
        <v>0</v>
      </c>
      <c r="O52" s="16"/>
      <c r="P52" s="16"/>
      <c r="Q52" s="16"/>
      <c r="R52" s="16"/>
      <c r="S52" s="16"/>
      <c r="T52" s="16"/>
    </row>
    <row r="53" spans="2:20" s="98" customFormat="1" ht="11.25" customHeight="1" x14ac:dyDescent="0.2">
      <c r="B53" s="93"/>
      <c r="C53" s="99" t="s">
        <v>171</v>
      </c>
      <c r="D53" s="100" t="s">
        <v>363</v>
      </c>
      <c r="E53" s="90" t="s">
        <v>31</v>
      </c>
      <c r="F53" s="90" t="s">
        <v>31</v>
      </c>
      <c r="G53" s="101">
        <v>1580</v>
      </c>
      <c r="H53" s="7"/>
      <c r="I53" s="50">
        <f t="shared" si="3"/>
        <v>0</v>
      </c>
      <c r="J53" s="7"/>
      <c r="K53" s="52">
        <f t="shared" si="0"/>
        <v>0</v>
      </c>
      <c r="L53" s="97">
        <f t="shared" si="4"/>
        <v>0</v>
      </c>
      <c r="M53" s="16">
        <f t="shared" ref="M53:M58" si="14">IF(L53&gt;0,1,0)</f>
        <v>0</v>
      </c>
      <c r="N53" s="13">
        <v>1580</v>
      </c>
      <c r="O53" s="16"/>
      <c r="P53" s="16"/>
      <c r="Q53" s="16"/>
      <c r="R53" s="16"/>
      <c r="S53" s="16"/>
    </row>
    <row r="54" spans="2:20" s="98" customFormat="1" ht="11.25" customHeight="1" x14ac:dyDescent="0.2">
      <c r="B54" s="93"/>
      <c r="C54" s="99" t="s">
        <v>172</v>
      </c>
      <c r="D54" s="100" t="s">
        <v>364</v>
      </c>
      <c r="E54" s="90" t="s">
        <v>6</v>
      </c>
      <c r="F54" s="90" t="s">
        <v>6</v>
      </c>
      <c r="G54" s="101">
        <v>68</v>
      </c>
      <c r="H54" s="7"/>
      <c r="I54" s="50">
        <f t="shared" si="3"/>
        <v>0</v>
      </c>
      <c r="J54" s="7"/>
      <c r="K54" s="52">
        <f t="shared" si="0"/>
        <v>0</v>
      </c>
      <c r="L54" s="97">
        <f t="shared" si="4"/>
        <v>0</v>
      </c>
      <c r="M54" s="16">
        <f t="shared" si="14"/>
        <v>0</v>
      </c>
      <c r="N54" s="13">
        <f>238/3.5</f>
        <v>68</v>
      </c>
      <c r="O54" s="16"/>
      <c r="P54" s="16" t="s">
        <v>227</v>
      </c>
      <c r="Q54" s="16"/>
      <c r="R54" s="16"/>
      <c r="S54" s="16"/>
    </row>
    <row r="55" spans="2:20" s="98" customFormat="1" ht="11.25" customHeight="1" x14ac:dyDescent="0.2">
      <c r="B55" s="93"/>
      <c r="C55" s="99" t="s">
        <v>174</v>
      </c>
      <c r="D55" s="100" t="s">
        <v>173</v>
      </c>
      <c r="E55" s="90" t="s">
        <v>5</v>
      </c>
      <c r="F55" s="90" t="s">
        <v>5</v>
      </c>
      <c r="G55" s="101">
        <v>79.2</v>
      </c>
      <c r="H55" s="7"/>
      <c r="I55" s="50">
        <f t="shared" si="3"/>
        <v>0</v>
      </c>
      <c r="J55" s="7"/>
      <c r="K55" s="52">
        <f t="shared" si="0"/>
        <v>0</v>
      </c>
      <c r="L55" s="97">
        <f t="shared" si="4"/>
        <v>0</v>
      </c>
      <c r="M55" s="16">
        <f t="shared" si="14"/>
        <v>0</v>
      </c>
      <c r="N55" s="13">
        <v>79.2</v>
      </c>
      <c r="O55" s="16"/>
      <c r="P55" s="16"/>
      <c r="Q55" s="16"/>
      <c r="R55" s="16"/>
      <c r="S55" s="16"/>
    </row>
    <row r="56" spans="2:20" s="98" customFormat="1" ht="11.25" customHeight="1" x14ac:dyDescent="0.2">
      <c r="B56" s="93"/>
      <c r="C56" s="99" t="s">
        <v>229</v>
      </c>
      <c r="D56" s="100" t="s">
        <v>365</v>
      </c>
      <c r="E56" s="90" t="s">
        <v>4</v>
      </c>
      <c r="F56" s="90" t="s">
        <v>4</v>
      </c>
      <c r="G56" s="101">
        <v>42</v>
      </c>
      <c r="H56" s="7"/>
      <c r="I56" s="50">
        <f t="shared" si="3"/>
        <v>0</v>
      </c>
      <c r="J56" s="7"/>
      <c r="K56" s="52">
        <f t="shared" si="0"/>
        <v>0</v>
      </c>
      <c r="L56" s="97">
        <f t="shared" si="4"/>
        <v>0</v>
      </c>
      <c r="M56" s="16">
        <f t="shared" si="14"/>
        <v>0</v>
      </c>
      <c r="N56" s="13">
        <v>42</v>
      </c>
      <c r="O56" s="16"/>
      <c r="P56" s="16"/>
      <c r="Q56" s="16"/>
      <c r="R56" s="16"/>
      <c r="S56" s="16"/>
    </row>
    <row r="57" spans="2:20" s="98" customFormat="1" ht="11.25" customHeight="1" x14ac:dyDescent="0.2">
      <c r="B57" s="93"/>
      <c r="C57" s="99" t="s">
        <v>230</v>
      </c>
      <c r="D57" s="146" t="s">
        <v>314</v>
      </c>
      <c r="E57" s="90" t="s">
        <v>31</v>
      </c>
      <c r="F57" s="90" t="s">
        <v>31</v>
      </c>
      <c r="G57" s="101">
        <v>2380</v>
      </c>
      <c r="H57" s="7"/>
      <c r="I57" s="50">
        <f t="shared" ref="I57:I58" si="15">+H57*G57</f>
        <v>0</v>
      </c>
      <c r="J57" s="7"/>
      <c r="K57" s="52">
        <f t="shared" ref="K57:K58" si="16">+J57*G57</f>
        <v>0</v>
      </c>
      <c r="L57" s="97">
        <f t="shared" ref="L57:L58" si="17">+K57+I57</f>
        <v>0</v>
      </c>
      <c r="M57" s="16">
        <f t="shared" si="14"/>
        <v>0</v>
      </c>
      <c r="N57" s="13">
        <v>2380</v>
      </c>
      <c r="O57" s="16"/>
      <c r="P57" s="16"/>
      <c r="Q57" s="16"/>
      <c r="R57" s="16"/>
      <c r="S57" s="16"/>
    </row>
    <row r="58" spans="2:20" s="98" customFormat="1" ht="11.25" customHeight="1" x14ac:dyDescent="0.2">
      <c r="B58" s="93"/>
      <c r="C58" s="99" t="s">
        <v>231</v>
      </c>
      <c r="D58" s="146" t="s">
        <v>315</v>
      </c>
      <c r="E58" s="90" t="s">
        <v>4</v>
      </c>
      <c r="F58" s="90" t="s">
        <v>4</v>
      </c>
      <c r="G58" s="101">
        <v>89.5</v>
      </c>
      <c r="H58" s="7"/>
      <c r="I58" s="50">
        <f t="shared" si="15"/>
        <v>0</v>
      </c>
      <c r="J58" s="7"/>
      <c r="K58" s="52">
        <f t="shared" si="16"/>
        <v>0</v>
      </c>
      <c r="L58" s="97">
        <f t="shared" si="17"/>
        <v>0</v>
      </c>
      <c r="M58" s="16">
        <f t="shared" si="14"/>
        <v>0</v>
      </c>
      <c r="N58" s="13">
        <f>47.5+42</f>
        <v>89.5</v>
      </c>
      <c r="O58" s="16"/>
      <c r="P58" s="16"/>
      <c r="Q58" s="16"/>
      <c r="R58" s="16"/>
      <c r="S58" s="16"/>
    </row>
    <row r="59" spans="2:20" s="98" customFormat="1" ht="11.25" customHeight="1" x14ac:dyDescent="0.2">
      <c r="B59" s="93"/>
      <c r="C59" s="11" t="s">
        <v>63</v>
      </c>
      <c r="D59" s="144" t="s">
        <v>124</v>
      </c>
      <c r="E59" s="143"/>
      <c r="F59" s="143"/>
      <c r="G59" s="8"/>
      <c r="H59" s="7"/>
      <c r="I59" s="50">
        <f t="shared" si="3"/>
        <v>0</v>
      </c>
      <c r="J59" s="7"/>
      <c r="K59" s="52">
        <f t="shared" si="0"/>
        <v>0</v>
      </c>
      <c r="L59" s="97">
        <f t="shared" si="4"/>
        <v>0</v>
      </c>
      <c r="M59" s="16">
        <f>IF(OR(L59&gt;0,H59+J59&gt;0),1,0)</f>
        <v>0</v>
      </c>
      <c r="N59" s="13"/>
      <c r="O59" s="16"/>
      <c r="P59" s="16"/>
      <c r="Q59" s="16"/>
      <c r="R59" s="16"/>
      <c r="S59" s="16"/>
    </row>
    <row r="60" spans="2:20" ht="11.25" customHeight="1" x14ac:dyDescent="0.2">
      <c r="B60" s="20" t="s">
        <v>248</v>
      </c>
      <c r="C60" s="86" t="s">
        <v>17</v>
      </c>
      <c r="D60" s="141" t="s">
        <v>127</v>
      </c>
      <c r="E60" s="47"/>
      <c r="F60" s="47"/>
      <c r="G60" s="48"/>
      <c r="H60" s="49"/>
      <c r="I60" s="50">
        <f t="shared" si="3"/>
        <v>0</v>
      </c>
      <c r="J60" s="49"/>
      <c r="K60" s="52">
        <f t="shared" si="0"/>
        <v>0</v>
      </c>
      <c r="L60" s="53">
        <f t="shared" si="4"/>
        <v>0</v>
      </c>
      <c r="M60" s="16">
        <f>IF(SUM(M61:M63)&gt;0,1,0)</f>
        <v>0</v>
      </c>
      <c r="O60" s="16"/>
      <c r="P60" s="16"/>
      <c r="Q60" s="16"/>
      <c r="R60" s="16"/>
      <c r="S60" s="16"/>
      <c r="T60" s="16"/>
    </row>
    <row r="61" spans="2:20" s="98" customFormat="1" ht="11.25" customHeight="1" x14ac:dyDescent="0.2">
      <c r="B61" s="93"/>
      <c r="C61" s="99" t="s">
        <v>232</v>
      </c>
      <c r="D61" s="100" t="s">
        <v>325</v>
      </c>
      <c r="E61" s="90" t="s">
        <v>31</v>
      </c>
      <c r="F61" s="90" t="s">
        <v>31</v>
      </c>
      <c r="G61" s="101">
        <v>2765</v>
      </c>
      <c r="H61" s="7"/>
      <c r="I61" s="50">
        <f t="shared" si="3"/>
        <v>0</v>
      </c>
      <c r="J61" s="7"/>
      <c r="K61" s="52">
        <f t="shared" si="0"/>
        <v>0</v>
      </c>
      <c r="L61" s="97">
        <f t="shared" si="4"/>
        <v>0</v>
      </c>
      <c r="M61" s="16">
        <f>IF(L61&gt;0,1,0)</f>
        <v>0</v>
      </c>
      <c r="N61" s="13">
        <v>2765</v>
      </c>
      <c r="O61" s="16"/>
      <c r="P61" s="16"/>
      <c r="Q61" s="16"/>
      <c r="R61" s="16"/>
      <c r="S61" s="16"/>
    </row>
    <row r="62" spans="2:20" s="98" customFormat="1" ht="11.25" customHeight="1" x14ac:dyDescent="0.2">
      <c r="B62" s="93"/>
      <c r="C62" s="99" t="s">
        <v>50</v>
      </c>
      <c r="D62" s="100" t="s">
        <v>316</v>
      </c>
      <c r="E62" s="90" t="s">
        <v>31</v>
      </c>
      <c r="F62" s="90" t="s">
        <v>31</v>
      </c>
      <c r="G62" s="101">
        <v>739</v>
      </c>
      <c r="H62" s="7"/>
      <c r="I62" s="50">
        <f t="shared" si="3"/>
        <v>0</v>
      </c>
      <c r="J62" s="7"/>
      <c r="K62" s="52">
        <f t="shared" si="0"/>
        <v>0</v>
      </c>
      <c r="L62" s="97">
        <f t="shared" si="4"/>
        <v>0</v>
      </c>
      <c r="M62" s="16">
        <f>IF(L62&gt;0,1,0)</f>
        <v>0</v>
      </c>
      <c r="N62" s="13">
        <v>739</v>
      </c>
      <c r="O62" s="16"/>
      <c r="P62" s="16"/>
      <c r="Q62" s="16"/>
      <c r="R62" s="16"/>
      <c r="S62" s="16"/>
    </row>
    <row r="63" spans="2:20" s="98" customFormat="1" ht="11.25" customHeight="1" x14ac:dyDescent="0.2">
      <c r="B63" s="93"/>
      <c r="C63" s="11" t="s">
        <v>63</v>
      </c>
      <c r="D63" s="144" t="s">
        <v>124</v>
      </c>
      <c r="E63" s="143"/>
      <c r="F63" s="143"/>
      <c r="G63" s="8"/>
      <c r="H63" s="7"/>
      <c r="I63" s="50">
        <f t="shared" si="3"/>
        <v>0</v>
      </c>
      <c r="J63" s="7"/>
      <c r="K63" s="52">
        <f t="shared" si="0"/>
        <v>0</v>
      </c>
      <c r="L63" s="97">
        <f t="shared" si="4"/>
        <v>0</v>
      </c>
      <c r="M63" s="16">
        <f>IF(OR(L63&gt;0,H63+J63&gt;0),1,0)</f>
        <v>0</v>
      </c>
      <c r="N63" s="13"/>
      <c r="O63" s="16"/>
      <c r="P63" s="16"/>
      <c r="Q63" s="16"/>
      <c r="R63" s="16"/>
      <c r="S63" s="16"/>
    </row>
    <row r="64" spans="2:20" ht="11.25" customHeight="1" x14ac:dyDescent="0.2">
      <c r="B64" s="20" t="s">
        <v>249</v>
      </c>
      <c r="C64" s="86" t="s">
        <v>18</v>
      </c>
      <c r="D64" s="141" t="s">
        <v>128</v>
      </c>
      <c r="E64" s="47"/>
      <c r="F64" s="47"/>
      <c r="G64" s="48"/>
      <c r="H64" s="49"/>
      <c r="I64" s="50">
        <f t="shared" si="3"/>
        <v>0</v>
      </c>
      <c r="J64" s="49"/>
      <c r="K64" s="52">
        <f t="shared" si="0"/>
        <v>0</v>
      </c>
      <c r="L64" s="53">
        <f t="shared" si="4"/>
        <v>0</v>
      </c>
      <c r="M64" s="16">
        <f>IF(SUM(M65:M99)&gt;0,1,0)</f>
        <v>0</v>
      </c>
      <c r="O64" s="16"/>
      <c r="P64" s="16"/>
      <c r="Q64" s="16"/>
      <c r="R64" s="16"/>
      <c r="S64" s="16"/>
      <c r="T64" s="16"/>
    </row>
    <row r="65" spans="2:20" ht="11.25" customHeight="1" x14ac:dyDescent="0.2">
      <c r="B65" s="20" t="s">
        <v>250</v>
      </c>
      <c r="C65" s="89" t="s">
        <v>27</v>
      </c>
      <c r="D65" s="142" t="s">
        <v>129</v>
      </c>
      <c r="E65" s="47"/>
      <c r="F65" s="47"/>
      <c r="G65" s="48"/>
      <c r="H65" s="49"/>
      <c r="I65" s="50">
        <f t="shared" si="3"/>
        <v>0</v>
      </c>
      <c r="J65" s="49"/>
      <c r="K65" s="52">
        <f t="shared" si="0"/>
        <v>0</v>
      </c>
      <c r="L65" s="53">
        <f t="shared" si="4"/>
        <v>0</v>
      </c>
      <c r="M65" s="16">
        <f>IF(SUM(M66:M81)&gt;0,1,0)</f>
        <v>0</v>
      </c>
      <c r="N65" s="13" t="s">
        <v>235</v>
      </c>
      <c r="O65" s="16"/>
      <c r="P65" s="16"/>
      <c r="Q65" s="16"/>
      <c r="R65" s="16"/>
      <c r="S65" s="16"/>
      <c r="T65" s="16"/>
    </row>
    <row r="66" spans="2:20" s="98" customFormat="1" ht="11.25" customHeight="1" x14ac:dyDescent="0.2">
      <c r="B66" s="103">
        <v>1</v>
      </c>
      <c r="C66" s="99" t="s">
        <v>96</v>
      </c>
      <c r="D66" s="100" t="s">
        <v>366</v>
      </c>
      <c r="E66" s="90"/>
      <c r="F66" s="90"/>
      <c r="G66" s="101"/>
      <c r="H66" s="104"/>
      <c r="I66" s="50">
        <f t="shared" si="3"/>
        <v>0</v>
      </c>
      <c r="J66" s="104"/>
      <c r="K66" s="52">
        <f t="shared" si="0"/>
        <v>0</v>
      </c>
      <c r="L66" s="97">
        <f t="shared" si="4"/>
        <v>0</v>
      </c>
      <c r="M66" s="16">
        <f>IF(SUM(M67:M70)&gt;0,1,0)</f>
        <v>0</v>
      </c>
      <c r="N66" s="13"/>
      <c r="O66" s="16"/>
      <c r="P66" s="16"/>
      <c r="Q66" s="16"/>
      <c r="R66" s="16"/>
      <c r="S66" s="16"/>
    </row>
    <row r="67" spans="2:20" s="98" customFormat="1" ht="11.25" customHeight="1" x14ac:dyDescent="0.2">
      <c r="B67" s="103">
        <v>1.1000000000000001</v>
      </c>
      <c r="C67" s="99" t="s">
        <v>65</v>
      </c>
      <c r="D67" s="100" t="s">
        <v>130</v>
      </c>
      <c r="E67" s="90" t="s">
        <v>166</v>
      </c>
      <c r="F67" s="90" t="s">
        <v>33</v>
      </c>
      <c r="G67" s="101">
        <f>+G179</f>
        <v>934</v>
      </c>
      <c r="H67" s="7"/>
      <c r="I67" s="50">
        <f t="shared" si="3"/>
        <v>0</v>
      </c>
      <c r="J67" s="7"/>
      <c r="K67" s="52">
        <f t="shared" si="0"/>
        <v>0</v>
      </c>
      <c r="L67" s="97">
        <f t="shared" si="4"/>
        <v>0</v>
      </c>
      <c r="M67" s="16">
        <f>IF(L67&gt;0,1,0)</f>
        <v>0</v>
      </c>
      <c r="N67" s="13"/>
      <c r="O67" s="16"/>
      <c r="P67" s="16"/>
      <c r="Q67" s="16"/>
      <c r="R67" s="16"/>
      <c r="S67" s="16"/>
    </row>
    <row r="68" spans="2:20" s="98" customFormat="1" ht="11.25" customHeight="1" x14ac:dyDescent="0.2">
      <c r="B68" s="103">
        <v>1.2</v>
      </c>
      <c r="C68" s="99" t="s">
        <v>189</v>
      </c>
      <c r="D68" s="146" t="s">
        <v>317</v>
      </c>
      <c r="E68" s="90" t="s">
        <v>166</v>
      </c>
      <c r="F68" s="90" t="s">
        <v>33</v>
      </c>
      <c r="G68" s="101">
        <f>+G180</f>
        <v>3902.5</v>
      </c>
      <c r="H68" s="7"/>
      <c r="I68" s="50">
        <f t="shared" si="3"/>
        <v>0</v>
      </c>
      <c r="J68" s="7"/>
      <c r="K68" s="52">
        <f t="shared" si="0"/>
        <v>0</v>
      </c>
      <c r="L68" s="97">
        <f t="shared" si="4"/>
        <v>0</v>
      </c>
      <c r="M68" s="16">
        <f>IF(L68&gt;0,1,0)</f>
        <v>0</v>
      </c>
      <c r="N68" s="13"/>
      <c r="O68" s="16"/>
      <c r="P68" s="16"/>
      <c r="Q68" s="16"/>
      <c r="R68" s="16"/>
      <c r="S68" s="16"/>
    </row>
    <row r="69" spans="2:20" s="98" customFormat="1" ht="11.25" customHeight="1" x14ac:dyDescent="0.2">
      <c r="B69" s="103">
        <v>1.3</v>
      </c>
      <c r="C69" s="99" t="s">
        <v>110</v>
      </c>
      <c r="D69" s="146" t="s">
        <v>318</v>
      </c>
      <c r="E69" s="90" t="s">
        <v>166</v>
      </c>
      <c r="F69" s="90" t="s">
        <v>33</v>
      </c>
      <c r="G69" s="101">
        <v>2120</v>
      </c>
      <c r="H69" s="7"/>
      <c r="I69" s="50">
        <f t="shared" si="3"/>
        <v>0</v>
      </c>
      <c r="J69" s="7"/>
      <c r="K69" s="52">
        <f t="shared" si="0"/>
        <v>0</v>
      </c>
      <c r="L69" s="97">
        <f t="shared" si="4"/>
        <v>0</v>
      </c>
      <c r="M69" s="16">
        <f>IF(L69&gt;0,1,0)</f>
        <v>0</v>
      </c>
      <c r="N69" s="13"/>
      <c r="O69" s="16"/>
      <c r="P69" s="16"/>
      <c r="Q69" s="16"/>
      <c r="R69" s="16"/>
      <c r="S69" s="16"/>
    </row>
    <row r="70" spans="2:20" s="98" customFormat="1" ht="11.25" customHeight="1" x14ac:dyDescent="0.2">
      <c r="B70" s="103">
        <v>1.4</v>
      </c>
      <c r="C70" s="99" t="s">
        <v>190</v>
      </c>
      <c r="D70" s="146" t="s">
        <v>319</v>
      </c>
      <c r="E70" s="90" t="s">
        <v>166</v>
      </c>
      <c r="F70" s="90" t="s">
        <v>33</v>
      </c>
      <c r="G70" s="101">
        <f>+G182</f>
        <v>4745</v>
      </c>
      <c r="H70" s="7"/>
      <c r="I70" s="50">
        <f t="shared" si="3"/>
        <v>0</v>
      </c>
      <c r="J70" s="7"/>
      <c r="K70" s="52">
        <f t="shared" si="0"/>
        <v>0</v>
      </c>
      <c r="L70" s="97">
        <f t="shared" si="4"/>
        <v>0</v>
      </c>
      <c r="M70" s="16">
        <f>IF(L70&gt;0,1,0)</f>
        <v>0</v>
      </c>
      <c r="N70" s="13"/>
      <c r="O70" s="16"/>
      <c r="P70" s="16"/>
      <c r="Q70" s="16"/>
      <c r="R70" s="16"/>
      <c r="S70" s="16"/>
    </row>
    <row r="71" spans="2:20" s="98" customFormat="1" ht="11.25" customHeight="1" x14ac:dyDescent="0.2">
      <c r="B71" s="103">
        <v>2</v>
      </c>
      <c r="C71" s="99" t="s">
        <v>95</v>
      </c>
      <c r="D71" s="100" t="s">
        <v>367</v>
      </c>
      <c r="E71" s="90"/>
      <c r="F71" s="90"/>
      <c r="G71" s="101"/>
      <c r="H71" s="104"/>
      <c r="I71" s="50">
        <f t="shared" si="3"/>
        <v>0</v>
      </c>
      <c r="J71" s="104"/>
      <c r="K71" s="52">
        <f t="shared" si="0"/>
        <v>0</v>
      </c>
      <c r="L71" s="97">
        <f t="shared" si="4"/>
        <v>0</v>
      </c>
      <c r="M71" s="16">
        <f>IF(SUM(M72:M75)&gt;0,1,0)</f>
        <v>0</v>
      </c>
      <c r="N71" s="13"/>
      <c r="O71" s="16"/>
      <c r="P71" s="16"/>
      <c r="Q71" s="16"/>
      <c r="R71" s="16"/>
      <c r="S71" s="16"/>
    </row>
    <row r="72" spans="2:20" s="98" customFormat="1" ht="11.25" customHeight="1" x14ac:dyDescent="0.2">
      <c r="B72" s="103">
        <v>2.1</v>
      </c>
      <c r="C72" s="99" t="s">
        <v>65</v>
      </c>
      <c r="D72" s="100" t="s">
        <v>130</v>
      </c>
      <c r="E72" s="90" t="s">
        <v>166</v>
      </c>
      <c r="F72" s="90" t="s">
        <v>33</v>
      </c>
      <c r="G72" s="101">
        <f>+G185</f>
        <v>1020</v>
      </c>
      <c r="H72" s="7"/>
      <c r="I72" s="50">
        <f t="shared" si="3"/>
        <v>0</v>
      </c>
      <c r="J72" s="7"/>
      <c r="K72" s="52">
        <f t="shared" si="0"/>
        <v>0</v>
      </c>
      <c r="L72" s="97">
        <f t="shared" si="4"/>
        <v>0</v>
      </c>
      <c r="M72" s="16">
        <f>IF(L72&gt;0,1,0)</f>
        <v>0</v>
      </c>
      <c r="N72" s="13"/>
      <c r="O72" s="16"/>
      <c r="P72" s="16"/>
      <c r="Q72" s="16"/>
      <c r="R72" s="16"/>
      <c r="S72" s="16"/>
    </row>
    <row r="73" spans="2:20" s="98" customFormat="1" ht="11.25" customHeight="1" x14ac:dyDescent="0.2">
      <c r="B73" s="103">
        <v>2.2000000000000002</v>
      </c>
      <c r="C73" s="99" t="s">
        <v>189</v>
      </c>
      <c r="D73" s="146" t="s">
        <v>317</v>
      </c>
      <c r="E73" s="90" t="s">
        <v>166</v>
      </c>
      <c r="F73" s="90" t="s">
        <v>33</v>
      </c>
      <c r="G73" s="101">
        <f>+G186</f>
        <v>6125</v>
      </c>
      <c r="H73" s="7"/>
      <c r="I73" s="50">
        <f t="shared" si="3"/>
        <v>0</v>
      </c>
      <c r="J73" s="7"/>
      <c r="K73" s="52">
        <f t="shared" si="0"/>
        <v>0</v>
      </c>
      <c r="L73" s="97">
        <f t="shared" si="4"/>
        <v>0</v>
      </c>
      <c r="M73" s="16">
        <f>IF(L73&gt;0,1,0)</f>
        <v>0</v>
      </c>
      <c r="N73" s="13"/>
      <c r="O73" s="16"/>
      <c r="P73" s="16"/>
      <c r="Q73" s="16"/>
      <c r="R73" s="16"/>
      <c r="S73" s="16"/>
    </row>
    <row r="74" spans="2:20" s="98" customFormat="1" ht="11.25" customHeight="1" x14ac:dyDescent="0.2">
      <c r="B74" s="103">
        <v>2.2999999999999998</v>
      </c>
      <c r="C74" s="99" t="s">
        <v>110</v>
      </c>
      <c r="D74" s="146" t="s">
        <v>318</v>
      </c>
      <c r="E74" s="90" t="s">
        <v>166</v>
      </c>
      <c r="F74" s="90" t="s">
        <v>33</v>
      </c>
      <c r="G74" s="101">
        <v>3190</v>
      </c>
      <c r="H74" s="7"/>
      <c r="I74" s="50">
        <f t="shared" si="3"/>
        <v>0</v>
      </c>
      <c r="J74" s="7"/>
      <c r="K74" s="52">
        <f t="shared" si="0"/>
        <v>0</v>
      </c>
      <c r="L74" s="97">
        <f t="shared" si="4"/>
        <v>0</v>
      </c>
      <c r="M74" s="16">
        <f>IF(L74&gt;0,1,0)</f>
        <v>0</v>
      </c>
      <c r="N74" s="13"/>
      <c r="O74" s="16"/>
      <c r="P74" s="16"/>
      <c r="Q74" s="16"/>
      <c r="R74" s="16"/>
      <c r="S74" s="16"/>
    </row>
    <row r="75" spans="2:20" s="98" customFormat="1" ht="11.25" customHeight="1" x14ac:dyDescent="0.2">
      <c r="B75" s="103">
        <v>2.4</v>
      </c>
      <c r="C75" s="99" t="s">
        <v>190</v>
      </c>
      <c r="D75" s="146" t="s">
        <v>319</v>
      </c>
      <c r="E75" s="90" t="s">
        <v>166</v>
      </c>
      <c r="F75" s="90" t="s">
        <v>33</v>
      </c>
      <c r="G75" s="101">
        <f>+G188</f>
        <v>8540</v>
      </c>
      <c r="H75" s="7"/>
      <c r="I75" s="50">
        <f t="shared" si="3"/>
        <v>0</v>
      </c>
      <c r="J75" s="7"/>
      <c r="K75" s="52">
        <f t="shared" si="0"/>
        <v>0</v>
      </c>
      <c r="L75" s="97">
        <f t="shared" si="4"/>
        <v>0</v>
      </c>
      <c r="M75" s="16">
        <f>IF(L75&gt;0,1,0)</f>
        <v>0</v>
      </c>
      <c r="N75" s="13"/>
      <c r="O75" s="16"/>
      <c r="P75" s="16"/>
      <c r="Q75" s="16"/>
      <c r="R75" s="16"/>
      <c r="S75" s="16"/>
    </row>
    <row r="76" spans="2:20" ht="11.25" customHeight="1" x14ac:dyDescent="0.2">
      <c r="B76" s="103">
        <v>3</v>
      </c>
      <c r="C76" s="99" t="s">
        <v>94</v>
      </c>
      <c r="D76" s="100" t="s">
        <v>368</v>
      </c>
      <c r="E76" s="90"/>
      <c r="F76" s="90"/>
      <c r="G76" s="101"/>
      <c r="H76" s="104"/>
      <c r="I76" s="50">
        <f t="shared" si="3"/>
        <v>0</v>
      </c>
      <c r="J76" s="104"/>
      <c r="K76" s="52">
        <f t="shared" ref="K76:K133" si="18">+J76*G76</f>
        <v>0</v>
      </c>
      <c r="L76" s="53">
        <f t="shared" si="4"/>
        <v>0</v>
      </c>
      <c r="M76" s="16">
        <f>IF(SUM(M77:M80)&gt;0,1,0)</f>
        <v>0</v>
      </c>
      <c r="O76" s="16"/>
      <c r="P76" s="16"/>
      <c r="Q76" s="16"/>
      <c r="R76" s="16"/>
      <c r="S76" s="16"/>
      <c r="T76" s="16"/>
    </row>
    <row r="77" spans="2:20" ht="11.25" customHeight="1" x14ac:dyDescent="0.2">
      <c r="B77" s="103">
        <v>3.1</v>
      </c>
      <c r="C77" s="99" t="s">
        <v>65</v>
      </c>
      <c r="D77" s="100" t="s">
        <v>130</v>
      </c>
      <c r="E77" s="90" t="s">
        <v>166</v>
      </c>
      <c r="F77" s="90" t="s">
        <v>33</v>
      </c>
      <c r="G77" s="101">
        <f>+G191</f>
        <v>1210</v>
      </c>
      <c r="H77" s="7"/>
      <c r="I77" s="50">
        <f t="shared" si="3"/>
        <v>0</v>
      </c>
      <c r="J77" s="7"/>
      <c r="K77" s="52">
        <f t="shared" si="18"/>
        <v>0</v>
      </c>
      <c r="L77" s="53">
        <f t="shared" si="4"/>
        <v>0</v>
      </c>
      <c r="M77" s="16">
        <f>IF(L77&gt;0,1,0)</f>
        <v>0</v>
      </c>
      <c r="O77" s="16"/>
      <c r="P77" s="16"/>
      <c r="Q77" s="16"/>
      <c r="R77" s="16"/>
      <c r="S77" s="16"/>
      <c r="T77" s="16"/>
    </row>
    <row r="78" spans="2:20" ht="11.25" customHeight="1" x14ac:dyDescent="0.2">
      <c r="B78" s="103">
        <v>3.2</v>
      </c>
      <c r="C78" s="99" t="s">
        <v>189</v>
      </c>
      <c r="D78" s="146" t="s">
        <v>317</v>
      </c>
      <c r="E78" s="90" t="s">
        <v>166</v>
      </c>
      <c r="F78" s="90" t="s">
        <v>33</v>
      </c>
      <c r="G78" s="101">
        <f>+G192</f>
        <v>10500</v>
      </c>
      <c r="H78" s="7"/>
      <c r="I78" s="50">
        <f t="shared" si="3"/>
        <v>0</v>
      </c>
      <c r="J78" s="7"/>
      <c r="K78" s="52">
        <f t="shared" si="18"/>
        <v>0</v>
      </c>
      <c r="L78" s="53">
        <f t="shared" si="4"/>
        <v>0</v>
      </c>
      <c r="M78" s="16">
        <f>IF(L78&gt;0,1,0)</f>
        <v>0</v>
      </c>
      <c r="O78" s="16"/>
      <c r="P78" s="16"/>
      <c r="Q78" s="16"/>
      <c r="R78" s="16"/>
      <c r="S78" s="16"/>
      <c r="T78" s="16"/>
    </row>
    <row r="79" spans="2:20" ht="11.25" customHeight="1" x14ac:dyDescent="0.2">
      <c r="B79" s="103">
        <v>3.3</v>
      </c>
      <c r="C79" s="99" t="s">
        <v>110</v>
      </c>
      <c r="D79" s="146" t="s">
        <v>318</v>
      </c>
      <c r="E79" s="90" t="s">
        <v>166</v>
      </c>
      <c r="F79" s="90" t="s">
        <v>33</v>
      </c>
      <c r="G79" s="101">
        <v>4420</v>
      </c>
      <c r="H79" s="7"/>
      <c r="I79" s="50">
        <f t="shared" si="3"/>
        <v>0</v>
      </c>
      <c r="J79" s="7"/>
      <c r="K79" s="52">
        <f t="shared" si="18"/>
        <v>0</v>
      </c>
      <c r="L79" s="53">
        <f t="shared" si="4"/>
        <v>0</v>
      </c>
      <c r="M79" s="16">
        <f>IF(L79&gt;0,1,0)</f>
        <v>0</v>
      </c>
      <c r="O79" s="16"/>
      <c r="P79" s="16"/>
      <c r="Q79" s="16"/>
      <c r="R79" s="16"/>
      <c r="S79" s="16"/>
      <c r="T79" s="16"/>
    </row>
    <row r="80" spans="2:20" ht="11.25" customHeight="1" x14ac:dyDescent="0.2">
      <c r="B80" s="103">
        <v>3.4</v>
      </c>
      <c r="C80" s="99" t="s">
        <v>190</v>
      </c>
      <c r="D80" s="146" t="s">
        <v>319</v>
      </c>
      <c r="E80" s="90" t="s">
        <v>166</v>
      </c>
      <c r="F80" s="90" t="s">
        <v>33</v>
      </c>
      <c r="G80" s="101">
        <f>+G194</f>
        <v>16030</v>
      </c>
      <c r="H80" s="7"/>
      <c r="I80" s="50">
        <f t="shared" si="3"/>
        <v>0</v>
      </c>
      <c r="J80" s="7"/>
      <c r="K80" s="52">
        <f t="shared" si="18"/>
        <v>0</v>
      </c>
      <c r="L80" s="53">
        <f t="shared" si="4"/>
        <v>0</v>
      </c>
      <c r="M80" s="16">
        <f>IF(L80&gt;0,1,0)</f>
        <v>0</v>
      </c>
      <c r="O80" s="16"/>
      <c r="P80" s="16"/>
      <c r="Q80" s="16"/>
      <c r="R80" s="16"/>
      <c r="S80" s="16"/>
      <c r="T80" s="16"/>
    </row>
    <row r="81" spans="2:20" s="98" customFormat="1" ht="11.25" customHeight="1" x14ac:dyDescent="0.2">
      <c r="B81" s="103">
        <v>4</v>
      </c>
      <c r="C81" s="11" t="s">
        <v>63</v>
      </c>
      <c r="D81" s="144" t="s">
        <v>124</v>
      </c>
      <c r="E81" s="143"/>
      <c r="F81" s="143"/>
      <c r="G81" s="8"/>
      <c r="H81" s="7"/>
      <c r="I81" s="50">
        <f t="shared" si="3"/>
        <v>0</v>
      </c>
      <c r="J81" s="7"/>
      <c r="K81" s="52">
        <f t="shared" si="18"/>
        <v>0</v>
      </c>
      <c r="L81" s="97">
        <f t="shared" si="4"/>
        <v>0</v>
      </c>
      <c r="M81" s="16">
        <f>IF(OR(L81&gt;0,H81+J81&gt;0),1,0)</f>
        <v>0</v>
      </c>
      <c r="N81" s="13"/>
      <c r="O81" s="16"/>
      <c r="P81" s="16"/>
      <c r="Q81" s="16"/>
      <c r="R81" s="16"/>
      <c r="S81" s="16"/>
    </row>
    <row r="82" spans="2:20" ht="11.25" customHeight="1" x14ac:dyDescent="0.2">
      <c r="B82" s="20" t="s">
        <v>251</v>
      </c>
      <c r="C82" s="89" t="s">
        <v>28</v>
      </c>
      <c r="D82" s="142" t="s">
        <v>131</v>
      </c>
      <c r="E82" s="47"/>
      <c r="F82" s="47"/>
      <c r="G82" s="101"/>
      <c r="H82" s="49"/>
      <c r="I82" s="50">
        <f t="shared" si="3"/>
        <v>0</v>
      </c>
      <c r="J82" s="49"/>
      <c r="K82" s="52">
        <f t="shared" si="18"/>
        <v>0</v>
      </c>
      <c r="L82" s="53">
        <f t="shared" si="4"/>
        <v>0</v>
      </c>
      <c r="M82" s="16">
        <f>IF(SUM(M83:M99)&gt;0,1,0)</f>
        <v>0</v>
      </c>
      <c r="N82" s="13" t="s">
        <v>236</v>
      </c>
      <c r="O82" s="16"/>
      <c r="P82" s="16"/>
      <c r="Q82" s="16"/>
      <c r="R82" s="16"/>
      <c r="S82" s="16"/>
      <c r="T82" s="16"/>
    </row>
    <row r="83" spans="2:20" ht="11.25" customHeight="1" x14ac:dyDescent="0.2">
      <c r="B83" s="103">
        <v>1</v>
      </c>
      <c r="C83" s="99" t="s">
        <v>96</v>
      </c>
      <c r="D83" s="100" t="s">
        <v>366</v>
      </c>
      <c r="E83" s="90"/>
      <c r="F83" s="90"/>
      <c r="G83" s="101"/>
      <c r="H83" s="49"/>
      <c r="I83" s="50">
        <f t="shared" ref="I83:I140" si="19">+H83*G83</f>
        <v>0</v>
      </c>
      <c r="J83" s="49"/>
      <c r="K83" s="52">
        <f t="shared" si="18"/>
        <v>0</v>
      </c>
      <c r="L83" s="53">
        <f t="shared" ref="L83:L140" si="20">+K83+I83</f>
        <v>0</v>
      </c>
      <c r="M83" s="16">
        <f>IF(SUM(M84:M87)&gt;0,1,0)</f>
        <v>0</v>
      </c>
      <c r="O83" s="16"/>
      <c r="P83" s="16"/>
      <c r="Q83" s="16"/>
      <c r="R83" s="16"/>
      <c r="S83" s="16"/>
      <c r="T83" s="16"/>
    </row>
    <row r="84" spans="2:20" ht="11.25" customHeight="1" x14ac:dyDescent="0.2">
      <c r="B84" s="103">
        <v>1.1000000000000001</v>
      </c>
      <c r="C84" s="99" t="s">
        <v>65</v>
      </c>
      <c r="D84" s="100" t="s">
        <v>130</v>
      </c>
      <c r="E84" s="90" t="s">
        <v>342</v>
      </c>
      <c r="F84" s="90" t="s">
        <v>7</v>
      </c>
      <c r="G84" s="101">
        <v>75</v>
      </c>
      <c r="H84" s="7"/>
      <c r="I84" s="50">
        <f t="shared" si="19"/>
        <v>0</v>
      </c>
      <c r="J84" s="7"/>
      <c r="K84" s="52">
        <f t="shared" si="18"/>
        <v>0</v>
      </c>
      <c r="L84" s="53">
        <f t="shared" si="20"/>
        <v>0</v>
      </c>
      <c r="M84" s="16">
        <f>IF(L84&gt;0,1,0)</f>
        <v>0</v>
      </c>
      <c r="N84" s="13">
        <f>65.5*1.15</f>
        <v>75.324999999999989</v>
      </c>
      <c r="O84" s="16"/>
      <c r="Q84" s="16"/>
      <c r="R84" s="16"/>
      <c r="S84" s="16"/>
      <c r="T84" s="16"/>
    </row>
    <row r="85" spans="2:20" ht="11.25" customHeight="1" x14ac:dyDescent="0.2">
      <c r="B85" s="103">
        <v>1.2</v>
      </c>
      <c r="C85" s="99" t="s">
        <v>168</v>
      </c>
      <c r="D85" s="146" t="s">
        <v>321</v>
      </c>
      <c r="E85" s="90" t="s">
        <v>342</v>
      </c>
      <c r="F85" s="90" t="s">
        <v>7</v>
      </c>
      <c r="G85" s="101">
        <v>312</v>
      </c>
      <c r="H85" s="7"/>
      <c r="I85" s="50">
        <f t="shared" si="19"/>
        <v>0</v>
      </c>
      <c r="J85" s="7"/>
      <c r="K85" s="52">
        <f t="shared" si="18"/>
        <v>0</v>
      </c>
      <c r="L85" s="53">
        <f t="shared" si="20"/>
        <v>0</v>
      </c>
      <c r="M85" s="16">
        <f>IF(L85&gt;0,1,0)</f>
        <v>0</v>
      </c>
      <c r="N85" s="13">
        <f>211*1.15+70</f>
        <v>312.64999999999998</v>
      </c>
      <c r="O85" s="16"/>
      <c r="Q85" s="16"/>
      <c r="R85" s="16"/>
      <c r="S85" s="16"/>
      <c r="T85" s="16"/>
    </row>
    <row r="86" spans="2:20" ht="11.25" customHeight="1" x14ac:dyDescent="0.2">
      <c r="B86" s="103">
        <v>1.3</v>
      </c>
      <c r="C86" s="99" t="s">
        <v>110</v>
      </c>
      <c r="D86" s="146" t="s">
        <v>318</v>
      </c>
      <c r="E86" s="90" t="s">
        <v>342</v>
      </c>
      <c r="F86" s="90" t="s">
        <v>7</v>
      </c>
      <c r="G86" s="101">
        <v>371</v>
      </c>
      <c r="H86" s="7"/>
      <c r="I86" s="50">
        <f t="shared" si="19"/>
        <v>0</v>
      </c>
      <c r="J86" s="7"/>
      <c r="K86" s="52">
        <f t="shared" si="18"/>
        <v>0</v>
      </c>
      <c r="L86" s="53">
        <f t="shared" si="20"/>
        <v>0</v>
      </c>
      <c r="M86" s="16">
        <f>IF(L86&gt;0,1,0)</f>
        <v>0</v>
      </c>
      <c r="N86" s="139">
        <f>341+30</f>
        <v>371</v>
      </c>
      <c r="O86" s="16"/>
      <c r="Q86" s="16"/>
      <c r="R86" s="16"/>
      <c r="S86" s="16"/>
      <c r="T86" s="16"/>
    </row>
    <row r="87" spans="2:20" ht="11.25" customHeight="1" x14ac:dyDescent="0.2">
      <c r="B87" s="103">
        <v>1.4</v>
      </c>
      <c r="C87" s="99" t="s">
        <v>55</v>
      </c>
      <c r="D87" s="146" t="s">
        <v>320</v>
      </c>
      <c r="E87" s="90" t="s">
        <v>342</v>
      </c>
      <c r="F87" s="90" t="s">
        <v>7</v>
      </c>
      <c r="G87" s="101">
        <v>194.35</v>
      </c>
      <c r="H87" s="7"/>
      <c r="I87" s="50">
        <f t="shared" si="19"/>
        <v>0</v>
      </c>
      <c r="J87" s="7"/>
      <c r="K87" s="52">
        <f t="shared" si="18"/>
        <v>0</v>
      </c>
      <c r="L87" s="53">
        <f t="shared" si="20"/>
        <v>0</v>
      </c>
      <c r="M87" s="16">
        <f>IF(L87&gt;0,1,0)</f>
        <v>0</v>
      </c>
      <c r="N87" s="13">
        <f>169*1.15</f>
        <v>194.35</v>
      </c>
      <c r="O87" s="16"/>
      <c r="Q87" s="16"/>
      <c r="R87" s="16"/>
      <c r="S87" s="16"/>
      <c r="T87" s="16"/>
    </row>
    <row r="88" spans="2:20" ht="11.25" customHeight="1" x14ac:dyDescent="0.2">
      <c r="B88" s="103">
        <v>2</v>
      </c>
      <c r="C88" s="99" t="s">
        <v>95</v>
      </c>
      <c r="D88" s="146" t="s">
        <v>367</v>
      </c>
      <c r="E88" s="90"/>
      <c r="F88" s="90"/>
      <c r="G88" s="101"/>
      <c r="H88" s="104"/>
      <c r="I88" s="50">
        <f t="shared" si="19"/>
        <v>0</v>
      </c>
      <c r="J88" s="104"/>
      <c r="K88" s="52">
        <f t="shared" si="18"/>
        <v>0</v>
      </c>
      <c r="L88" s="53">
        <f t="shared" si="20"/>
        <v>0</v>
      </c>
      <c r="M88" s="16">
        <f>IF(SUM(M89:M92)&gt;0,1,0)</f>
        <v>0</v>
      </c>
      <c r="O88" s="16"/>
      <c r="Q88" s="16"/>
      <c r="R88" s="16"/>
      <c r="S88" s="16"/>
      <c r="T88" s="16"/>
    </row>
    <row r="89" spans="2:20" ht="11.25" customHeight="1" x14ac:dyDescent="0.2">
      <c r="B89" s="103">
        <v>2.1</v>
      </c>
      <c r="C89" s="99" t="s">
        <v>65</v>
      </c>
      <c r="D89" s="146" t="s">
        <v>130</v>
      </c>
      <c r="E89" s="90" t="s">
        <v>342</v>
      </c>
      <c r="F89" s="90" t="s">
        <v>7</v>
      </c>
      <c r="G89" s="101">
        <v>89.814999999999998</v>
      </c>
      <c r="H89" s="7"/>
      <c r="I89" s="50">
        <f t="shared" si="19"/>
        <v>0</v>
      </c>
      <c r="J89" s="7"/>
      <c r="K89" s="52">
        <f t="shared" si="18"/>
        <v>0</v>
      </c>
      <c r="L89" s="53">
        <f t="shared" si="20"/>
        <v>0</v>
      </c>
      <c r="M89" s="16">
        <f>IF(L89&gt;0,1,0)</f>
        <v>0</v>
      </c>
      <c r="N89" s="13">
        <f>78.1*1.15</f>
        <v>89.814999999999984</v>
      </c>
      <c r="O89" s="16"/>
      <c r="Q89" s="16"/>
      <c r="R89" s="16"/>
      <c r="S89" s="16"/>
      <c r="T89" s="16"/>
    </row>
    <row r="90" spans="2:20" ht="11.25" customHeight="1" x14ac:dyDescent="0.2">
      <c r="B90" s="103">
        <v>2.2000000000000002</v>
      </c>
      <c r="C90" s="99" t="s">
        <v>168</v>
      </c>
      <c r="D90" s="146" t="s">
        <v>321</v>
      </c>
      <c r="E90" s="90" t="s">
        <v>342</v>
      </c>
      <c r="F90" s="90" t="s">
        <v>7</v>
      </c>
      <c r="G90" s="101">
        <v>498.8</v>
      </c>
      <c r="H90" s="7"/>
      <c r="I90" s="50">
        <f t="shared" si="19"/>
        <v>0</v>
      </c>
      <c r="J90" s="7"/>
      <c r="K90" s="52">
        <f t="shared" si="18"/>
        <v>0</v>
      </c>
      <c r="L90" s="53">
        <f t="shared" si="20"/>
        <v>0</v>
      </c>
      <c r="M90" s="16">
        <f>IF(L90&gt;0,1,0)</f>
        <v>0</v>
      </c>
      <c r="N90" s="13">
        <f>312*1.15+140</f>
        <v>498.79999999999995</v>
      </c>
      <c r="O90" s="16"/>
      <c r="Q90" s="16"/>
      <c r="R90" s="16"/>
      <c r="S90" s="16"/>
      <c r="T90" s="16"/>
    </row>
    <row r="91" spans="2:20" ht="11.25" customHeight="1" x14ac:dyDescent="0.2">
      <c r="B91" s="103">
        <v>2.2999999999999998</v>
      </c>
      <c r="C91" s="99" t="s">
        <v>110</v>
      </c>
      <c r="D91" s="146" t="s">
        <v>318</v>
      </c>
      <c r="E91" s="90" t="s">
        <v>342</v>
      </c>
      <c r="F91" s="90" t="s">
        <v>7</v>
      </c>
      <c r="G91" s="101">
        <v>532</v>
      </c>
      <c r="H91" s="7"/>
      <c r="I91" s="50">
        <f t="shared" si="19"/>
        <v>0</v>
      </c>
      <c r="J91" s="7"/>
      <c r="K91" s="52">
        <f t="shared" si="18"/>
        <v>0</v>
      </c>
      <c r="L91" s="53">
        <f t="shared" si="20"/>
        <v>0</v>
      </c>
      <c r="M91" s="16">
        <f>IF(L91&gt;0,1,0)</f>
        <v>0</v>
      </c>
      <c r="N91" s="13">
        <f>472+60</f>
        <v>532</v>
      </c>
      <c r="O91" s="16"/>
      <c r="Q91" s="16"/>
      <c r="R91" s="16"/>
      <c r="S91" s="16"/>
      <c r="T91" s="16"/>
    </row>
    <row r="92" spans="2:20" ht="11.25" customHeight="1" x14ac:dyDescent="0.2">
      <c r="B92" s="103">
        <v>2.4</v>
      </c>
      <c r="C92" s="99" t="s">
        <v>55</v>
      </c>
      <c r="D92" s="146" t="s">
        <v>320</v>
      </c>
      <c r="E92" s="90" t="s">
        <v>342</v>
      </c>
      <c r="F92" s="90" t="s">
        <v>7</v>
      </c>
      <c r="G92" s="101">
        <v>194.35</v>
      </c>
      <c r="H92" s="7"/>
      <c r="I92" s="50">
        <f t="shared" si="19"/>
        <v>0</v>
      </c>
      <c r="J92" s="7"/>
      <c r="K92" s="52">
        <f t="shared" si="18"/>
        <v>0</v>
      </c>
      <c r="L92" s="53">
        <f t="shared" si="20"/>
        <v>0</v>
      </c>
      <c r="M92" s="16">
        <f>IF(L92&gt;0,1,0)</f>
        <v>0</v>
      </c>
      <c r="N92" s="13">
        <f>169*1.15</f>
        <v>194.35</v>
      </c>
      <c r="O92" s="16"/>
      <c r="Q92" s="16"/>
      <c r="R92" s="16"/>
      <c r="S92" s="16"/>
      <c r="T92" s="16"/>
    </row>
    <row r="93" spans="2:20" ht="11.25" customHeight="1" x14ac:dyDescent="0.2">
      <c r="B93" s="103">
        <v>3</v>
      </c>
      <c r="C93" s="99" t="s">
        <v>97</v>
      </c>
      <c r="D93" s="146" t="s">
        <v>368</v>
      </c>
      <c r="E93" s="90"/>
      <c r="F93" s="90"/>
      <c r="G93" s="101"/>
      <c r="H93" s="104"/>
      <c r="I93" s="50">
        <f t="shared" si="19"/>
        <v>0</v>
      </c>
      <c r="J93" s="104"/>
      <c r="K93" s="52">
        <f t="shared" si="18"/>
        <v>0</v>
      </c>
      <c r="L93" s="53">
        <f t="shared" si="20"/>
        <v>0</v>
      </c>
      <c r="M93" s="16">
        <f>IF(SUM(M94:M97)&gt;0,1,0)</f>
        <v>0</v>
      </c>
      <c r="O93" s="16"/>
      <c r="Q93" s="16"/>
      <c r="R93" s="16"/>
      <c r="S93" s="16"/>
      <c r="T93" s="16"/>
    </row>
    <row r="94" spans="2:20" ht="11.25" customHeight="1" x14ac:dyDescent="0.2">
      <c r="B94" s="103">
        <v>3.1</v>
      </c>
      <c r="C94" s="99" t="s">
        <v>65</v>
      </c>
      <c r="D94" s="146" t="s">
        <v>130</v>
      </c>
      <c r="E94" s="90" t="s">
        <v>342</v>
      </c>
      <c r="F94" s="90" t="s">
        <v>7</v>
      </c>
      <c r="G94" s="101">
        <v>150</v>
      </c>
      <c r="H94" s="7"/>
      <c r="I94" s="50">
        <f t="shared" si="19"/>
        <v>0</v>
      </c>
      <c r="J94" s="7"/>
      <c r="K94" s="52">
        <f t="shared" si="18"/>
        <v>0</v>
      </c>
      <c r="L94" s="53">
        <f t="shared" si="20"/>
        <v>0</v>
      </c>
      <c r="M94" s="16">
        <f t="shared" ref="M94:M98" si="21">IF(L94&gt;0,1,0)</f>
        <v>0</v>
      </c>
      <c r="N94" s="13">
        <f>130*1.15</f>
        <v>149.5</v>
      </c>
      <c r="O94" s="16"/>
      <c r="Q94" s="16"/>
      <c r="R94" s="16"/>
      <c r="S94" s="16"/>
      <c r="T94" s="16"/>
    </row>
    <row r="95" spans="2:20" ht="11.25" customHeight="1" x14ac:dyDescent="0.2">
      <c r="B95" s="103">
        <v>3.2</v>
      </c>
      <c r="C95" s="99" t="s">
        <v>168</v>
      </c>
      <c r="D95" s="146" t="s">
        <v>321</v>
      </c>
      <c r="E95" s="90" t="s">
        <v>342</v>
      </c>
      <c r="F95" s="90" t="s">
        <v>7</v>
      </c>
      <c r="G95" s="101">
        <v>756</v>
      </c>
      <c r="H95" s="7"/>
      <c r="I95" s="50">
        <f t="shared" si="19"/>
        <v>0</v>
      </c>
      <c r="J95" s="7"/>
      <c r="K95" s="52">
        <f t="shared" si="18"/>
        <v>0</v>
      </c>
      <c r="L95" s="53">
        <f t="shared" si="20"/>
        <v>0</v>
      </c>
      <c r="M95" s="16">
        <f t="shared" si="21"/>
        <v>0</v>
      </c>
      <c r="N95" s="13">
        <f>414*1.15+280</f>
        <v>756.09999999999991</v>
      </c>
      <c r="O95" s="16"/>
      <c r="Q95" s="16"/>
      <c r="R95" s="16"/>
      <c r="S95" s="16"/>
      <c r="T95" s="16"/>
    </row>
    <row r="96" spans="2:20" ht="11.25" customHeight="1" x14ac:dyDescent="0.2">
      <c r="B96" s="103">
        <v>3.3</v>
      </c>
      <c r="C96" s="99" t="s">
        <v>110</v>
      </c>
      <c r="D96" s="146" t="s">
        <v>318</v>
      </c>
      <c r="E96" s="90" t="s">
        <v>342</v>
      </c>
      <c r="F96" s="90" t="s">
        <v>7</v>
      </c>
      <c r="G96" s="101">
        <v>820</v>
      </c>
      <c r="H96" s="7"/>
      <c r="I96" s="50">
        <f t="shared" si="19"/>
        <v>0</v>
      </c>
      <c r="J96" s="7"/>
      <c r="K96" s="52">
        <f t="shared" si="18"/>
        <v>0</v>
      </c>
      <c r="L96" s="53">
        <f t="shared" si="20"/>
        <v>0</v>
      </c>
      <c r="M96" s="16">
        <f t="shared" si="21"/>
        <v>0</v>
      </c>
      <c r="N96" s="13">
        <f>638+120</f>
        <v>758</v>
      </c>
      <c r="O96" s="16"/>
      <c r="Q96" s="16"/>
      <c r="R96" s="16"/>
      <c r="S96" s="16"/>
      <c r="T96" s="16"/>
    </row>
    <row r="97" spans="2:20" ht="11.25" customHeight="1" x14ac:dyDescent="0.2">
      <c r="B97" s="103">
        <v>3.4</v>
      </c>
      <c r="C97" s="99" t="s">
        <v>55</v>
      </c>
      <c r="D97" s="100" t="s">
        <v>320</v>
      </c>
      <c r="E97" s="90" t="s">
        <v>342</v>
      </c>
      <c r="F97" s="90" t="s">
        <v>7</v>
      </c>
      <c r="G97" s="101">
        <v>194</v>
      </c>
      <c r="H97" s="7"/>
      <c r="I97" s="50">
        <f t="shared" si="19"/>
        <v>0</v>
      </c>
      <c r="J97" s="7"/>
      <c r="K97" s="52">
        <f t="shared" si="18"/>
        <v>0</v>
      </c>
      <c r="L97" s="53">
        <f t="shared" si="20"/>
        <v>0</v>
      </c>
      <c r="M97" s="16">
        <f t="shared" si="21"/>
        <v>0</v>
      </c>
      <c r="N97" s="13">
        <f>169.5*1.15</f>
        <v>194.92499999999998</v>
      </c>
      <c r="O97" s="16"/>
      <c r="Q97" s="16"/>
      <c r="R97" s="16"/>
      <c r="S97" s="16"/>
      <c r="T97" s="16"/>
    </row>
    <row r="98" spans="2:20" s="98" customFormat="1" ht="11.25" customHeight="1" x14ac:dyDescent="0.2">
      <c r="B98" s="103">
        <v>3</v>
      </c>
      <c r="C98" s="99" t="s">
        <v>69</v>
      </c>
      <c r="D98" s="100" t="s">
        <v>322</v>
      </c>
      <c r="E98" s="90" t="s">
        <v>47</v>
      </c>
      <c r="F98" s="90" t="s">
        <v>47</v>
      </c>
      <c r="G98" s="138">
        <v>3.66</v>
      </c>
      <c r="H98" s="7"/>
      <c r="I98" s="50">
        <f t="shared" si="19"/>
        <v>0</v>
      </c>
      <c r="J98" s="7"/>
      <c r="K98" s="52">
        <f t="shared" si="18"/>
        <v>0</v>
      </c>
      <c r="L98" s="97">
        <f t="shared" si="20"/>
        <v>0</v>
      </c>
      <c r="M98" s="16">
        <f t="shared" si="21"/>
        <v>0</v>
      </c>
      <c r="N98" s="13">
        <f>3.06+300/500</f>
        <v>3.66</v>
      </c>
      <c r="O98" s="16"/>
      <c r="Q98" s="16"/>
      <c r="R98" s="16"/>
      <c r="S98" s="16"/>
    </row>
    <row r="99" spans="2:20" s="98" customFormat="1" ht="11.25" customHeight="1" x14ac:dyDescent="0.2">
      <c r="B99" s="103">
        <v>4</v>
      </c>
      <c r="C99" s="11" t="s">
        <v>63</v>
      </c>
      <c r="D99" s="144" t="s">
        <v>124</v>
      </c>
      <c r="E99" s="143"/>
      <c r="F99" s="143"/>
      <c r="G99" s="8"/>
      <c r="H99" s="7"/>
      <c r="I99" s="50">
        <f t="shared" si="19"/>
        <v>0</v>
      </c>
      <c r="J99" s="7"/>
      <c r="K99" s="52">
        <f t="shared" si="18"/>
        <v>0</v>
      </c>
      <c r="L99" s="97">
        <f t="shared" si="20"/>
        <v>0</v>
      </c>
      <c r="M99" s="16">
        <f>IF(OR(L99&gt;0,H99+J99&gt;0),1,0)</f>
        <v>0</v>
      </c>
      <c r="N99" s="13"/>
      <c r="O99" s="16"/>
      <c r="Q99" s="16"/>
      <c r="R99" s="16"/>
      <c r="S99" s="16"/>
    </row>
    <row r="100" spans="2:20" ht="11.25" customHeight="1" x14ac:dyDescent="0.2">
      <c r="B100" s="20" t="s">
        <v>253</v>
      </c>
      <c r="C100" s="86" t="s">
        <v>68</v>
      </c>
      <c r="D100" s="141" t="s">
        <v>132</v>
      </c>
      <c r="E100" s="47"/>
      <c r="F100" s="47"/>
      <c r="G100" s="48"/>
      <c r="H100" s="49"/>
      <c r="I100" s="50">
        <f t="shared" si="19"/>
        <v>0</v>
      </c>
      <c r="J100" s="49"/>
      <c r="K100" s="52">
        <f t="shared" si="18"/>
        <v>0</v>
      </c>
      <c r="L100" s="53">
        <f t="shared" si="20"/>
        <v>0</v>
      </c>
      <c r="M100" s="16">
        <f>IF(SUM(M101:M124)&gt;0,1,0)</f>
        <v>0</v>
      </c>
      <c r="O100" s="16"/>
      <c r="P100" s="16"/>
      <c r="Q100" s="16"/>
      <c r="R100" s="16"/>
      <c r="S100" s="16"/>
      <c r="T100" s="16"/>
    </row>
    <row r="101" spans="2:20" s="98" customFormat="1" ht="11.25" customHeight="1" x14ac:dyDescent="0.2">
      <c r="B101" s="103">
        <v>1</v>
      </c>
      <c r="C101" s="99" t="s">
        <v>53</v>
      </c>
      <c r="D101" s="100" t="s">
        <v>323</v>
      </c>
      <c r="E101" s="90" t="s">
        <v>6</v>
      </c>
      <c r="F101" s="90" t="s">
        <v>6</v>
      </c>
      <c r="G101" s="138">
        <v>3.7</v>
      </c>
      <c r="H101" s="7"/>
      <c r="I101" s="50">
        <f t="shared" si="19"/>
        <v>0</v>
      </c>
      <c r="J101" s="7"/>
      <c r="K101" s="52">
        <f t="shared" si="18"/>
        <v>0</v>
      </c>
      <c r="L101" s="97">
        <f t="shared" si="20"/>
        <v>0</v>
      </c>
      <c r="M101" s="16">
        <f>IF(L101&gt;0,1,0)</f>
        <v>0</v>
      </c>
      <c r="N101" s="13">
        <v>3.7</v>
      </c>
      <c r="O101" s="16"/>
      <c r="P101" s="16"/>
      <c r="Q101" s="16"/>
      <c r="R101" s="16"/>
      <c r="S101" s="16"/>
    </row>
    <row r="102" spans="2:20" s="98" customFormat="1" ht="11.25" customHeight="1" x14ac:dyDescent="0.2">
      <c r="B102" s="103">
        <v>2</v>
      </c>
      <c r="C102" s="99" t="s">
        <v>73</v>
      </c>
      <c r="D102" s="100" t="s">
        <v>369</v>
      </c>
      <c r="E102" s="90" t="s">
        <v>344</v>
      </c>
      <c r="F102" s="90" t="s">
        <v>45</v>
      </c>
      <c r="G102" s="101">
        <v>47</v>
      </c>
      <c r="H102" s="7"/>
      <c r="I102" s="50">
        <f t="shared" si="19"/>
        <v>0</v>
      </c>
      <c r="J102" s="7"/>
      <c r="K102" s="52">
        <f t="shared" si="18"/>
        <v>0</v>
      </c>
      <c r="L102" s="97">
        <f t="shared" si="20"/>
        <v>0</v>
      </c>
      <c r="M102" s="16">
        <f>IF(L102&gt;0,1,0)</f>
        <v>0</v>
      </c>
      <c r="N102" s="13">
        <f>16.9*0.3*0.3*31</f>
        <v>47.150999999999989</v>
      </c>
      <c r="O102" s="16"/>
      <c r="P102" s="16"/>
      <c r="Q102" s="16"/>
      <c r="R102" s="16"/>
      <c r="S102" s="16"/>
    </row>
    <row r="103" spans="2:20" s="98" customFormat="1" ht="11.25" customHeight="1" x14ac:dyDescent="0.2">
      <c r="B103" s="103">
        <v>3</v>
      </c>
      <c r="C103" s="99" t="s">
        <v>74</v>
      </c>
      <c r="D103" s="100" t="s">
        <v>133</v>
      </c>
      <c r="E103" s="90"/>
      <c r="F103" s="90"/>
      <c r="G103" s="101"/>
      <c r="H103" s="104"/>
      <c r="I103" s="50">
        <f t="shared" si="19"/>
        <v>0</v>
      </c>
      <c r="J103" s="104"/>
      <c r="K103" s="52">
        <f t="shared" si="18"/>
        <v>0</v>
      </c>
      <c r="L103" s="97">
        <f t="shared" si="20"/>
        <v>0</v>
      </c>
      <c r="M103" s="16">
        <f>IF(SUM(M104:M105)&gt;0,1,0)</f>
        <v>0</v>
      </c>
      <c r="N103" s="13"/>
      <c r="O103" s="16"/>
      <c r="P103" s="16"/>
      <c r="Q103" s="16"/>
      <c r="R103" s="16"/>
      <c r="S103" s="16"/>
    </row>
    <row r="104" spans="2:20" s="98" customFormat="1" ht="11.25" customHeight="1" x14ac:dyDescent="0.2">
      <c r="B104" s="103">
        <v>3.1</v>
      </c>
      <c r="C104" s="99" t="s">
        <v>76</v>
      </c>
      <c r="D104" s="100" t="s">
        <v>134</v>
      </c>
      <c r="E104" s="90" t="s">
        <v>344</v>
      </c>
      <c r="F104" s="90" t="s">
        <v>45</v>
      </c>
      <c r="G104" s="101">
        <v>190</v>
      </c>
      <c r="H104" s="7"/>
      <c r="I104" s="50">
        <f t="shared" si="19"/>
        <v>0</v>
      </c>
      <c r="J104" s="7"/>
      <c r="K104" s="52">
        <f t="shared" si="18"/>
        <v>0</v>
      </c>
      <c r="L104" s="97">
        <f t="shared" si="20"/>
        <v>0</v>
      </c>
      <c r="M104" s="16">
        <f>IF(L104&gt;0,1,0)</f>
        <v>0</v>
      </c>
      <c r="N104" s="13">
        <f>125+315/5</f>
        <v>188</v>
      </c>
      <c r="O104" s="16"/>
      <c r="P104" s="16" t="s">
        <v>214</v>
      </c>
      <c r="Q104" s="16"/>
      <c r="R104" s="16"/>
      <c r="S104" s="16"/>
    </row>
    <row r="105" spans="2:20" s="98" customFormat="1" ht="11.25" customHeight="1" x14ac:dyDescent="0.2">
      <c r="B105" s="103">
        <v>3.2</v>
      </c>
      <c r="C105" s="99" t="s">
        <v>77</v>
      </c>
      <c r="D105" s="100" t="s">
        <v>135</v>
      </c>
      <c r="E105" s="90" t="s">
        <v>344</v>
      </c>
      <c r="F105" s="90" t="s">
        <v>45</v>
      </c>
      <c r="G105" s="101">
        <v>27</v>
      </c>
      <c r="H105" s="7"/>
      <c r="I105" s="50">
        <f t="shared" si="19"/>
        <v>0</v>
      </c>
      <c r="J105" s="7"/>
      <c r="K105" s="52">
        <f t="shared" si="18"/>
        <v>0</v>
      </c>
      <c r="L105" s="97">
        <f t="shared" si="20"/>
        <v>0</v>
      </c>
      <c r="M105" s="16">
        <f>IF(L105&gt;0,1,0)</f>
        <v>0</v>
      </c>
      <c r="N105" s="13">
        <v>27</v>
      </c>
      <c r="O105" s="16"/>
      <c r="P105" s="16"/>
      <c r="Q105" s="16"/>
      <c r="R105" s="16"/>
      <c r="S105" s="16"/>
    </row>
    <row r="106" spans="2:20" s="98" customFormat="1" ht="11.25" customHeight="1" x14ac:dyDescent="0.2">
      <c r="B106" s="103">
        <v>4</v>
      </c>
      <c r="C106" s="99" t="s">
        <v>57</v>
      </c>
      <c r="D106" s="100" t="s">
        <v>136</v>
      </c>
      <c r="E106" s="90"/>
      <c r="F106" s="90"/>
      <c r="G106" s="101"/>
      <c r="H106" s="104"/>
      <c r="I106" s="50">
        <f t="shared" si="19"/>
        <v>0</v>
      </c>
      <c r="J106" s="104"/>
      <c r="K106" s="52">
        <f t="shared" si="18"/>
        <v>0</v>
      </c>
      <c r="L106" s="97">
        <f t="shared" si="20"/>
        <v>0</v>
      </c>
      <c r="M106" s="16">
        <f>IF(SUM(M107:M109)&gt;0,1,0)</f>
        <v>0</v>
      </c>
      <c r="N106" s="13"/>
      <c r="O106" s="16"/>
      <c r="P106" s="16"/>
      <c r="Q106" s="16"/>
      <c r="R106" s="16"/>
      <c r="S106" s="16"/>
    </row>
    <row r="107" spans="2:20" s="98" customFormat="1" ht="11.25" customHeight="1" x14ac:dyDescent="0.2">
      <c r="B107" s="103">
        <v>4.0999999999999996</v>
      </c>
      <c r="C107" s="99" t="s">
        <v>56</v>
      </c>
      <c r="D107" s="100" t="s">
        <v>137</v>
      </c>
      <c r="E107" s="90" t="s">
        <v>31</v>
      </c>
      <c r="F107" s="90" t="s">
        <v>31</v>
      </c>
      <c r="G107" s="101">
        <v>895</v>
      </c>
      <c r="H107" s="7"/>
      <c r="I107" s="50">
        <f t="shared" si="19"/>
        <v>0</v>
      </c>
      <c r="J107" s="7"/>
      <c r="K107" s="52">
        <f t="shared" si="18"/>
        <v>0</v>
      </c>
      <c r="L107" s="97">
        <f t="shared" si="20"/>
        <v>0</v>
      </c>
      <c r="M107" s="16">
        <f>IF(L107&gt;0,1,0)</f>
        <v>0</v>
      </c>
      <c r="N107" s="13">
        <v>895</v>
      </c>
      <c r="O107" s="16"/>
      <c r="P107" s="16"/>
      <c r="Q107" s="16"/>
      <c r="R107" s="16"/>
      <c r="S107" s="16"/>
    </row>
    <row r="108" spans="2:20" s="98" customFormat="1" ht="11.25" customHeight="1" x14ac:dyDescent="0.2">
      <c r="B108" s="103">
        <v>4.2</v>
      </c>
      <c r="C108" s="99" t="s">
        <v>58</v>
      </c>
      <c r="D108" s="100" t="s">
        <v>138</v>
      </c>
      <c r="E108" s="90" t="s">
        <v>166</v>
      </c>
      <c r="F108" s="90" t="s">
        <v>33</v>
      </c>
      <c r="G108" s="101">
        <v>272</v>
      </c>
      <c r="H108" s="7"/>
      <c r="I108" s="50">
        <f t="shared" si="19"/>
        <v>0</v>
      </c>
      <c r="J108" s="7"/>
      <c r="K108" s="52">
        <f t="shared" si="18"/>
        <v>0</v>
      </c>
      <c r="L108" s="97">
        <f t="shared" si="20"/>
        <v>0</v>
      </c>
      <c r="M108" s="16">
        <f>IF(L108&gt;0,1,0)</f>
        <v>0</v>
      </c>
      <c r="N108" s="13">
        <v>272</v>
      </c>
      <c r="O108" s="16"/>
      <c r="P108" s="16"/>
      <c r="Q108" s="16"/>
      <c r="R108" s="16"/>
      <c r="S108" s="16"/>
    </row>
    <row r="109" spans="2:20" s="98" customFormat="1" ht="11.25" customHeight="1" x14ac:dyDescent="0.2">
      <c r="B109" s="103">
        <v>4.3</v>
      </c>
      <c r="C109" s="99" t="s">
        <v>59</v>
      </c>
      <c r="D109" s="100" t="s">
        <v>139</v>
      </c>
      <c r="E109" s="90" t="s">
        <v>5</v>
      </c>
      <c r="F109" s="90" t="s">
        <v>5</v>
      </c>
      <c r="G109" s="101">
        <v>120</v>
      </c>
      <c r="H109" s="7"/>
      <c r="I109" s="50">
        <f t="shared" si="19"/>
        <v>0</v>
      </c>
      <c r="J109" s="7"/>
      <c r="K109" s="52">
        <f t="shared" si="18"/>
        <v>0</v>
      </c>
      <c r="L109" s="97">
        <f t="shared" si="20"/>
        <v>0</v>
      </c>
      <c r="M109" s="16">
        <f>IF(L109&gt;0,1,0)</f>
        <v>0</v>
      </c>
      <c r="N109" s="13">
        <v>119</v>
      </c>
      <c r="O109" s="16"/>
      <c r="P109" s="16"/>
      <c r="Q109" s="16"/>
      <c r="R109" s="16"/>
      <c r="S109" s="16"/>
    </row>
    <row r="110" spans="2:20" s="98" customFormat="1" ht="11.25" customHeight="1" x14ac:dyDescent="0.2">
      <c r="B110" s="103">
        <v>5</v>
      </c>
      <c r="C110" s="99" t="s">
        <v>75</v>
      </c>
      <c r="D110" s="100" t="s">
        <v>324</v>
      </c>
      <c r="E110" s="90"/>
      <c r="F110" s="90"/>
      <c r="G110" s="101"/>
      <c r="H110" s="104"/>
      <c r="I110" s="50">
        <f t="shared" si="19"/>
        <v>0</v>
      </c>
      <c r="J110" s="104"/>
      <c r="K110" s="52">
        <f t="shared" si="18"/>
        <v>0</v>
      </c>
      <c r="L110" s="97">
        <f t="shared" si="20"/>
        <v>0</v>
      </c>
      <c r="M110" s="16">
        <f>IF(SUM(M111:M115)&gt;0,1,0)</f>
        <v>0</v>
      </c>
      <c r="N110" s="13"/>
      <c r="O110" s="16"/>
      <c r="P110" s="16"/>
      <c r="Q110" s="16"/>
      <c r="R110" s="16"/>
      <c r="S110" s="16"/>
    </row>
    <row r="111" spans="2:20" s="98" customFormat="1" ht="11.25" customHeight="1" x14ac:dyDescent="0.2">
      <c r="B111" s="103">
        <v>5.0999999999999996</v>
      </c>
      <c r="C111" s="99" t="s">
        <v>233</v>
      </c>
      <c r="D111" s="146" t="s">
        <v>370</v>
      </c>
      <c r="E111" s="90" t="s">
        <v>31</v>
      </c>
      <c r="F111" s="90" t="s">
        <v>31</v>
      </c>
      <c r="G111" s="101">
        <v>518</v>
      </c>
      <c r="H111" s="7"/>
      <c r="I111" s="50">
        <f t="shared" si="19"/>
        <v>0</v>
      </c>
      <c r="J111" s="7"/>
      <c r="K111" s="52">
        <f t="shared" si="18"/>
        <v>0</v>
      </c>
      <c r="L111" s="97">
        <f t="shared" si="20"/>
        <v>0</v>
      </c>
      <c r="M111" s="16">
        <f>IF(L111&gt;0,1,0)</f>
        <v>0</v>
      </c>
      <c r="N111" s="13">
        <v>518</v>
      </c>
      <c r="O111" s="16"/>
      <c r="P111" s="16"/>
      <c r="Q111" s="16"/>
      <c r="R111" s="16"/>
      <c r="S111" s="16"/>
    </row>
    <row r="112" spans="2:20" s="98" customFormat="1" ht="11.25" customHeight="1" x14ac:dyDescent="0.2">
      <c r="B112" s="103">
        <v>5.2</v>
      </c>
      <c r="C112" s="99" t="s">
        <v>100</v>
      </c>
      <c r="D112" s="100" t="s">
        <v>140</v>
      </c>
      <c r="E112" s="90" t="s">
        <v>166</v>
      </c>
      <c r="F112" s="90" t="s">
        <v>33</v>
      </c>
      <c r="G112" s="101">
        <v>130</v>
      </c>
      <c r="H112" s="7"/>
      <c r="I112" s="50">
        <f t="shared" si="19"/>
        <v>0</v>
      </c>
      <c r="J112" s="7"/>
      <c r="K112" s="52">
        <f t="shared" si="18"/>
        <v>0</v>
      </c>
      <c r="L112" s="97">
        <f t="shared" si="20"/>
        <v>0</v>
      </c>
      <c r="M112" s="16">
        <f>IF(L112&gt;0,1,0)</f>
        <v>0</v>
      </c>
      <c r="N112" s="13">
        <f>62.3+64</f>
        <v>126.3</v>
      </c>
      <c r="O112" s="16"/>
      <c r="P112" s="16"/>
      <c r="Q112" s="16"/>
      <c r="R112" s="16"/>
      <c r="S112" s="16"/>
    </row>
    <row r="113" spans="2:20" s="98" customFormat="1" ht="11.25" customHeight="1" x14ac:dyDescent="0.2">
      <c r="B113" s="103">
        <v>5.3</v>
      </c>
      <c r="C113" s="99" t="s">
        <v>66</v>
      </c>
      <c r="D113" s="100" t="s">
        <v>141</v>
      </c>
      <c r="E113" s="90" t="s">
        <v>5</v>
      </c>
      <c r="F113" s="90" t="s">
        <v>5</v>
      </c>
      <c r="G113" s="101">
        <v>75</v>
      </c>
      <c r="H113" s="7"/>
      <c r="I113" s="50">
        <f t="shared" si="19"/>
        <v>0</v>
      </c>
      <c r="J113" s="7"/>
      <c r="K113" s="52">
        <f t="shared" si="18"/>
        <v>0</v>
      </c>
      <c r="L113" s="97">
        <f t="shared" si="20"/>
        <v>0</v>
      </c>
      <c r="M113" s="16">
        <f>IF(L113&gt;0,1,0)</f>
        <v>0</v>
      </c>
      <c r="N113" s="13">
        <f>52+13+0.21*0.21*3.14/4*286</f>
        <v>74.900891000000001</v>
      </c>
      <c r="O113" s="16"/>
      <c r="P113" s="16"/>
      <c r="Q113" s="16"/>
      <c r="R113" s="16"/>
      <c r="S113" s="16"/>
    </row>
    <row r="114" spans="2:20" s="98" customFormat="1" ht="11.25" customHeight="1" x14ac:dyDescent="0.2">
      <c r="B114" s="103">
        <v>5.4</v>
      </c>
      <c r="C114" s="99" t="s">
        <v>67</v>
      </c>
      <c r="D114" s="100" t="s">
        <v>142</v>
      </c>
      <c r="E114" s="90" t="s">
        <v>5</v>
      </c>
      <c r="F114" s="90" t="s">
        <v>5</v>
      </c>
      <c r="G114" s="101">
        <v>190</v>
      </c>
      <c r="H114" s="7"/>
      <c r="I114" s="50">
        <f t="shared" si="19"/>
        <v>0</v>
      </c>
      <c r="J114" s="7"/>
      <c r="K114" s="52">
        <f t="shared" si="18"/>
        <v>0</v>
      </c>
      <c r="L114" s="97">
        <f t="shared" si="20"/>
        <v>0</v>
      </c>
      <c r="M114" s="16">
        <f>IF(L114&gt;0,1,0)</f>
        <v>0</v>
      </c>
      <c r="N114" s="13">
        <f>120+52+0.3*0.3*3.14/4*286</f>
        <v>192.20589999999999</v>
      </c>
      <c r="O114" s="16"/>
      <c r="P114" s="16"/>
      <c r="Q114" s="16"/>
      <c r="R114" s="16"/>
      <c r="S114" s="16"/>
    </row>
    <row r="115" spans="2:20" s="98" customFormat="1" ht="11.25" customHeight="1" x14ac:dyDescent="0.2">
      <c r="B115" s="103">
        <v>5.5</v>
      </c>
      <c r="C115" s="99" t="s">
        <v>60</v>
      </c>
      <c r="D115" s="100" t="s">
        <v>143</v>
      </c>
      <c r="E115" s="90" t="s">
        <v>345</v>
      </c>
      <c r="F115" s="90" t="s">
        <v>61</v>
      </c>
      <c r="G115" s="101">
        <v>250</v>
      </c>
      <c r="H115" s="7"/>
      <c r="I115" s="50">
        <f t="shared" si="19"/>
        <v>0</v>
      </c>
      <c r="J115" s="7"/>
      <c r="K115" s="52">
        <f t="shared" si="18"/>
        <v>0</v>
      </c>
      <c r="L115" s="97">
        <f t="shared" si="20"/>
        <v>0</v>
      </c>
      <c r="M115" s="16">
        <f>IF(L115&gt;0,1,0)</f>
        <v>0</v>
      </c>
      <c r="N115" s="139"/>
      <c r="O115" s="16"/>
      <c r="P115" s="16" t="s">
        <v>228</v>
      </c>
      <c r="Q115" s="16"/>
      <c r="R115" s="16"/>
      <c r="S115" s="16"/>
    </row>
    <row r="116" spans="2:20" s="98" customFormat="1" ht="11.25" customHeight="1" x14ac:dyDescent="0.2">
      <c r="B116" s="103">
        <v>6</v>
      </c>
      <c r="C116" s="99" t="s">
        <v>78</v>
      </c>
      <c r="D116" s="100" t="s">
        <v>144</v>
      </c>
      <c r="E116" s="90"/>
      <c r="F116" s="90"/>
      <c r="G116" s="101"/>
      <c r="H116" s="104"/>
      <c r="I116" s="50">
        <f t="shared" si="19"/>
        <v>0</v>
      </c>
      <c r="J116" s="104"/>
      <c r="K116" s="52">
        <f t="shared" si="18"/>
        <v>0</v>
      </c>
      <c r="L116" s="97">
        <f t="shared" si="20"/>
        <v>0</v>
      </c>
      <c r="M116" s="16">
        <f>IF(SUM(M117:M119)&gt;0,1,0)</f>
        <v>0</v>
      </c>
      <c r="N116" s="13"/>
      <c r="O116" s="16"/>
      <c r="P116" s="16"/>
      <c r="Q116" s="16"/>
      <c r="R116" s="16"/>
      <c r="S116" s="16"/>
    </row>
    <row r="117" spans="2:20" s="98" customFormat="1" ht="11.25" customHeight="1" x14ac:dyDescent="0.2">
      <c r="B117" s="103" t="s">
        <v>206</v>
      </c>
      <c r="C117" s="99" t="s">
        <v>285</v>
      </c>
      <c r="D117" s="100" t="s">
        <v>283</v>
      </c>
      <c r="E117" s="90" t="s">
        <v>166</v>
      </c>
      <c r="F117" s="90" t="s">
        <v>33</v>
      </c>
      <c r="G117" s="101">
        <v>520</v>
      </c>
      <c r="H117" s="7"/>
      <c r="I117" s="50">
        <f t="shared" si="19"/>
        <v>0</v>
      </c>
      <c r="J117" s="7"/>
      <c r="K117" s="52">
        <f t="shared" si="18"/>
        <v>0</v>
      </c>
      <c r="L117" s="97">
        <f t="shared" si="20"/>
        <v>0</v>
      </c>
      <c r="M117" s="16">
        <f>IF(L117&gt;0,1,0)</f>
        <v>0</v>
      </c>
      <c r="N117" s="13">
        <f>261+255</f>
        <v>516</v>
      </c>
      <c r="O117" s="16"/>
      <c r="P117" s="16"/>
      <c r="Q117" s="16"/>
      <c r="R117" s="16"/>
      <c r="S117" s="16"/>
    </row>
    <row r="118" spans="2:20" s="98" customFormat="1" ht="11.25" customHeight="1" x14ac:dyDescent="0.2">
      <c r="B118" s="103" t="s">
        <v>207</v>
      </c>
      <c r="C118" s="99" t="s">
        <v>286</v>
      </c>
      <c r="D118" s="100" t="s">
        <v>284</v>
      </c>
      <c r="E118" s="90" t="s">
        <v>166</v>
      </c>
      <c r="F118" s="90" t="s">
        <v>33</v>
      </c>
      <c r="G118" s="101">
        <v>920</v>
      </c>
      <c r="H118" s="7"/>
      <c r="I118" s="50">
        <f t="shared" si="19"/>
        <v>0</v>
      </c>
      <c r="J118" s="7"/>
      <c r="K118" s="52">
        <f t="shared" si="18"/>
        <v>0</v>
      </c>
      <c r="L118" s="97">
        <f t="shared" si="20"/>
        <v>0</v>
      </c>
      <c r="M118" s="16">
        <f>IF(L118&gt;0,1,0)</f>
        <v>0</v>
      </c>
      <c r="N118" s="13">
        <f>603+315</f>
        <v>918</v>
      </c>
      <c r="O118" s="16"/>
      <c r="P118" s="16"/>
      <c r="Q118" s="16"/>
      <c r="R118" s="16"/>
      <c r="S118" s="16"/>
    </row>
    <row r="119" spans="2:20" s="98" customFormat="1" ht="11.25" customHeight="1" x14ac:dyDescent="0.2">
      <c r="B119" s="103" t="s">
        <v>208</v>
      </c>
      <c r="C119" s="99" t="s">
        <v>80</v>
      </c>
      <c r="D119" s="100" t="s">
        <v>145</v>
      </c>
      <c r="E119" s="90" t="s">
        <v>166</v>
      </c>
      <c r="F119" s="90" t="s">
        <v>33</v>
      </c>
      <c r="G119" s="101">
        <v>1200</v>
      </c>
      <c r="H119" s="7"/>
      <c r="I119" s="50">
        <f t="shared" si="19"/>
        <v>0</v>
      </c>
      <c r="J119" s="7"/>
      <c r="K119" s="52">
        <f t="shared" si="18"/>
        <v>0</v>
      </c>
      <c r="L119" s="97">
        <f t="shared" si="20"/>
        <v>0</v>
      </c>
      <c r="M119" s="16">
        <f>IF(L119&gt;0,1,0)</f>
        <v>0</v>
      </c>
      <c r="N119" s="13">
        <f>759+411</f>
        <v>1170</v>
      </c>
      <c r="O119" s="16"/>
      <c r="P119" s="16"/>
      <c r="Q119" s="16"/>
      <c r="R119" s="16"/>
      <c r="S119" s="16"/>
    </row>
    <row r="120" spans="2:20" s="98" customFormat="1" ht="11.25" customHeight="1" x14ac:dyDescent="0.2">
      <c r="B120" s="103">
        <v>7</v>
      </c>
      <c r="C120" s="99" t="s">
        <v>34</v>
      </c>
      <c r="D120" s="100" t="s">
        <v>146</v>
      </c>
      <c r="E120" s="90"/>
      <c r="F120" s="90"/>
      <c r="G120" s="101"/>
      <c r="H120" s="104"/>
      <c r="I120" s="50">
        <f t="shared" si="19"/>
        <v>0</v>
      </c>
      <c r="J120" s="104"/>
      <c r="K120" s="52">
        <f t="shared" si="18"/>
        <v>0</v>
      </c>
      <c r="L120" s="97">
        <f t="shared" si="20"/>
        <v>0</v>
      </c>
      <c r="M120" s="16">
        <f>IF(SUM(M121:M123)&gt;0,1,0)</f>
        <v>0</v>
      </c>
      <c r="N120" s="13"/>
      <c r="O120" s="16"/>
      <c r="P120" s="16"/>
      <c r="Q120" s="16"/>
      <c r="R120" s="16"/>
      <c r="S120" s="16"/>
    </row>
    <row r="121" spans="2:20" s="98" customFormat="1" ht="11.25" customHeight="1" x14ac:dyDescent="0.2">
      <c r="B121" s="103">
        <v>7.1</v>
      </c>
      <c r="C121" s="99" t="s">
        <v>210</v>
      </c>
      <c r="D121" s="100" t="s">
        <v>287</v>
      </c>
      <c r="E121" s="90" t="s">
        <v>344</v>
      </c>
      <c r="F121" s="90" t="s">
        <v>45</v>
      </c>
      <c r="G121" s="101">
        <v>14.8</v>
      </c>
      <c r="H121" s="7"/>
      <c r="I121" s="50">
        <f t="shared" si="19"/>
        <v>0</v>
      </c>
      <c r="J121" s="7"/>
      <c r="K121" s="52">
        <f t="shared" si="18"/>
        <v>0</v>
      </c>
      <c r="L121" s="97">
        <f t="shared" si="20"/>
        <v>0</v>
      </c>
      <c r="M121" s="16">
        <f>IF(L121&gt;0,1,0)</f>
        <v>0</v>
      </c>
      <c r="N121" s="13">
        <v>14.8</v>
      </c>
      <c r="O121" s="16"/>
      <c r="P121" s="16"/>
      <c r="Q121" s="16"/>
      <c r="R121" s="16"/>
      <c r="S121" s="16"/>
    </row>
    <row r="122" spans="2:20" s="98" customFormat="1" ht="11.25" customHeight="1" x14ac:dyDescent="0.2">
      <c r="B122" s="103">
        <v>7.2</v>
      </c>
      <c r="C122" s="99" t="s">
        <v>209</v>
      </c>
      <c r="D122" s="100" t="s">
        <v>147</v>
      </c>
      <c r="E122" s="90" t="s">
        <v>344</v>
      </c>
      <c r="F122" s="90" t="s">
        <v>45</v>
      </c>
      <c r="G122" s="101">
        <v>28.5</v>
      </c>
      <c r="H122" s="7"/>
      <c r="I122" s="50">
        <f t="shared" si="19"/>
        <v>0</v>
      </c>
      <c r="J122" s="7"/>
      <c r="K122" s="52">
        <f t="shared" si="18"/>
        <v>0</v>
      </c>
      <c r="L122" s="97">
        <f t="shared" si="20"/>
        <v>0</v>
      </c>
      <c r="M122" s="16">
        <f>IF(L122&gt;0,1,0)</f>
        <v>0</v>
      </c>
      <c r="N122" s="13">
        <v>28.5</v>
      </c>
      <c r="O122" s="16"/>
      <c r="P122" s="16"/>
      <c r="Q122" s="16"/>
      <c r="R122" s="16"/>
      <c r="S122" s="16"/>
    </row>
    <row r="123" spans="2:20" s="98" customFormat="1" ht="11.25" customHeight="1" x14ac:dyDescent="0.2">
      <c r="B123" s="103">
        <v>7.3</v>
      </c>
      <c r="C123" s="99" t="s">
        <v>79</v>
      </c>
      <c r="D123" s="100" t="s">
        <v>326</v>
      </c>
      <c r="E123" s="90" t="s">
        <v>344</v>
      </c>
      <c r="F123" s="90" t="s">
        <v>45</v>
      </c>
      <c r="G123" s="101">
        <v>17</v>
      </c>
      <c r="H123" s="7"/>
      <c r="I123" s="50">
        <f t="shared" si="19"/>
        <v>0</v>
      </c>
      <c r="J123" s="7"/>
      <c r="K123" s="52">
        <f t="shared" si="18"/>
        <v>0</v>
      </c>
      <c r="L123" s="97">
        <f t="shared" si="20"/>
        <v>0</v>
      </c>
      <c r="M123" s="16">
        <f>IF(L123&gt;0,1,0)</f>
        <v>0</v>
      </c>
      <c r="N123" s="13">
        <v>17</v>
      </c>
      <c r="O123" s="16"/>
      <c r="P123" s="16"/>
      <c r="Q123" s="16"/>
      <c r="R123" s="16"/>
      <c r="S123" s="16"/>
    </row>
    <row r="124" spans="2:20" s="98" customFormat="1" ht="11.25" customHeight="1" x14ac:dyDescent="0.2">
      <c r="B124" s="103">
        <v>8</v>
      </c>
      <c r="C124" s="11" t="s">
        <v>63</v>
      </c>
      <c r="D124" s="144" t="s">
        <v>124</v>
      </c>
      <c r="E124" s="143"/>
      <c r="F124" s="143"/>
      <c r="G124" s="8"/>
      <c r="H124" s="7"/>
      <c r="I124" s="50">
        <f t="shared" si="19"/>
        <v>0</v>
      </c>
      <c r="J124" s="7"/>
      <c r="K124" s="52">
        <f t="shared" si="18"/>
        <v>0</v>
      </c>
      <c r="L124" s="97">
        <f t="shared" si="20"/>
        <v>0</v>
      </c>
      <c r="M124" s="16">
        <f>IF(OR(L124&gt;0,H124+J124&gt;0),1,0)</f>
        <v>0</v>
      </c>
      <c r="N124" s="13"/>
      <c r="O124" s="16"/>
      <c r="P124" s="16"/>
      <c r="Q124" s="16"/>
      <c r="R124" s="16"/>
      <c r="S124" s="16"/>
    </row>
    <row r="125" spans="2:20" ht="11.25" customHeight="1" x14ac:dyDescent="0.2">
      <c r="B125" s="20" t="s">
        <v>252</v>
      </c>
      <c r="C125" s="86" t="s">
        <v>19</v>
      </c>
      <c r="D125" s="141" t="s">
        <v>148</v>
      </c>
      <c r="E125" s="47"/>
      <c r="F125" s="47"/>
      <c r="G125" s="48"/>
      <c r="H125" s="49"/>
      <c r="I125" s="50">
        <f t="shared" si="19"/>
        <v>0</v>
      </c>
      <c r="J125" s="49"/>
      <c r="K125" s="52">
        <f t="shared" si="18"/>
        <v>0</v>
      </c>
      <c r="L125" s="53">
        <f t="shared" si="20"/>
        <v>0</v>
      </c>
      <c r="M125" s="16">
        <f>IF(SUM(M126:M131)&gt;0,1,0)</f>
        <v>0</v>
      </c>
      <c r="O125" s="16"/>
      <c r="P125" s="16"/>
      <c r="Q125" s="16"/>
      <c r="R125" s="16"/>
      <c r="S125" s="16"/>
      <c r="T125" s="16"/>
    </row>
    <row r="126" spans="2:20" s="98" customFormat="1" ht="11.25" customHeight="1" x14ac:dyDescent="0.2">
      <c r="B126" s="103">
        <v>1</v>
      </c>
      <c r="C126" s="99" t="s">
        <v>51</v>
      </c>
      <c r="D126" s="100" t="s">
        <v>149</v>
      </c>
      <c r="E126" s="90"/>
      <c r="F126" s="90"/>
      <c r="G126" s="101"/>
      <c r="H126" s="104"/>
      <c r="I126" s="50">
        <f t="shared" si="19"/>
        <v>0</v>
      </c>
      <c r="J126" s="104"/>
      <c r="K126" s="52">
        <f t="shared" si="18"/>
        <v>0</v>
      </c>
      <c r="L126" s="97">
        <f t="shared" si="20"/>
        <v>0</v>
      </c>
      <c r="M126" s="16">
        <f>IF(SUM(M127:M128)&gt;0,1,0)</f>
        <v>0</v>
      </c>
      <c r="N126" s="13"/>
      <c r="O126" s="16"/>
      <c r="P126" s="16"/>
      <c r="Q126" s="16"/>
      <c r="R126" s="16"/>
      <c r="S126" s="16"/>
    </row>
    <row r="127" spans="2:20" s="98" customFormat="1" ht="11.25" customHeight="1" x14ac:dyDescent="0.2">
      <c r="B127" s="103">
        <v>1.1000000000000001</v>
      </c>
      <c r="C127" s="99" t="s">
        <v>108</v>
      </c>
      <c r="D127" s="100" t="s">
        <v>327</v>
      </c>
      <c r="E127" s="90" t="s">
        <v>166</v>
      </c>
      <c r="F127" s="90" t="s">
        <v>33</v>
      </c>
      <c r="G127" s="101">
        <v>640</v>
      </c>
      <c r="H127" s="7"/>
      <c r="I127" s="50">
        <f t="shared" si="19"/>
        <v>0</v>
      </c>
      <c r="J127" s="7"/>
      <c r="K127" s="52">
        <f t="shared" si="18"/>
        <v>0</v>
      </c>
      <c r="L127" s="97">
        <f t="shared" si="20"/>
        <v>0</v>
      </c>
      <c r="M127" s="16">
        <f>IF(L127&gt;0,1,0)</f>
        <v>0</v>
      </c>
      <c r="N127" s="13">
        <f>480+2*80</f>
        <v>640</v>
      </c>
      <c r="O127" s="16"/>
      <c r="P127" s="16" t="s">
        <v>211</v>
      </c>
      <c r="Q127" s="16"/>
      <c r="R127" s="16"/>
      <c r="S127" s="16"/>
    </row>
    <row r="128" spans="2:20" s="98" customFormat="1" ht="11.25" customHeight="1" x14ac:dyDescent="0.2">
      <c r="B128" s="103">
        <v>1.2</v>
      </c>
      <c r="C128" s="99" t="s">
        <v>52</v>
      </c>
      <c r="D128" s="100" t="s">
        <v>371</v>
      </c>
      <c r="E128" s="90" t="s">
        <v>47</v>
      </c>
      <c r="F128" s="90" t="s">
        <v>47</v>
      </c>
      <c r="G128" s="138">
        <v>0.46</v>
      </c>
      <c r="H128" s="7"/>
      <c r="I128" s="50">
        <f t="shared" si="19"/>
        <v>0</v>
      </c>
      <c r="J128" s="7"/>
      <c r="K128" s="52">
        <f t="shared" si="18"/>
        <v>0</v>
      </c>
      <c r="L128" s="97">
        <f t="shared" si="20"/>
        <v>0</v>
      </c>
      <c r="M128" s="16">
        <f>IF(L128&gt;0,1,0)</f>
        <v>0</v>
      </c>
      <c r="N128" s="13">
        <v>0.46</v>
      </c>
      <c r="O128" s="16"/>
      <c r="P128" s="16"/>
      <c r="Q128" s="16"/>
      <c r="R128" s="16"/>
      <c r="S128" s="16"/>
    </row>
    <row r="129" spans="2:20" s="98" customFormat="1" ht="11.25" customHeight="1" x14ac:dyDescent="0.2">
      <c r="B129" s="103">
        <v>2</v>
      </c>
      <c r="C129" s="99" t="s">
        <v>54</v>
      </c>
      <c r="D129" s="100" t="s">
        <v>150</v>
      </c>
      <c r="E129" s="90"/>
      <c r="F129" s="90"/>
      <c r="G129" s="101"/>
      <c r="H129" s="104"/>
      <c r="I129" s="50">
        <f t="shared" si="19"/>
        <v>0</v>
      </c>
      <c r="J129" s="104"/>
      <c r="K129" s="52">
        <f t="shared" si="18"/>
        <v>0</v>
      </c>
      <c r="L129" s="97">
        <f t="shared" si="20"/>
        <v>0</v>
      </c>
      <c r="M129" s="16">
        <f>IF(SUM(M130:M130)&gt;0,1,0)</f>
        <v>0</v>
      </c>
      <c r="N129" s="13"/>
      <c r="O129" s="16"/>
      <c r="P129" s="16"/>
      <c r="Q129" s="16"/>
      <c r="R129" s="16"/>
      <c r="S129" s="16"/>
    </row>
    <row r="130" spans="2:20" s="98" customFormat="1" ht="11.25" customHeight="1" x14ac:dyDescent="0.2">
      <c r="B130" s="103">
        <v>2.1</v>
      </c>
      <c r="C130" s="99" t="s">
        <v>64</v>
      </c>
      <c r="D130" s="100" t="s">
        <v>372</v>
      </c>
      <c r="E130" s="90" t="s">
        <v>6</v>
      </c>
      <c r="F130" s="90" t="s">
        <v>6</v>
      </c>
      <c r="G130" s="101">
        <v>52</v>
      </c>
      <c r="H130" s="7"/>
      <c r="I130" s="50">
        <f t="shared" si="19"/>
        <v>0</v>
      </c>
      <c r="J130" s="7"/>
      <c r="K130" s="52">
        <f t="shared" si="18"/>
        <v>0</v>
      </c>
      <c r="L130" s="97">
        <f t="shared" si="20"/>
        <v>0</v>
      </c>
      <c r="M130" s="16">
        <f>IF(L130&gt;0,1,0)</f>
        <v>0</v>
      </c>
      <c r="N130" s="13">
        <f>1.58+15+30+3.5</f>
        <v>50.08</v>
      </c>
      <c r="O130" s="16"/>
      <c r="P130" s="16" t="s">
        <v>212</v>
      </c>
      <c r="Q130" s="16"/>
      <c r="R130" s="16"/>
      <c r="S130" s="16"/>
    </row>
    <row r="131" spans="2:20" s="98" customFormat="1" ht="11.25" customHeight="1" x14ac:dyDescent="0.2">
      <c r="B131" s="103">
        <v>3</v>
      </c>
      <c r="C131" s="11" t="s">
        <v>63</v>
      </c>
      <c r="D131" s="144" t="s">
        <v>124</v>
      </c>
      <c r="E131" s="143"/>
      <c r="F131" s="143"/>
      <c r="G131" s="8"/>
      <c r="H131" s="7"/>
      <c r="I131" s="50">
        <f t="shared" si="19"/>
        <v>0</v>
      </c>
      <c r="J131" s="7"/>
      <c r="K131" s="52">
        <f t="shared" si="18"/>
        <v>0</v>
      </c>
      <c r="L131" s="97">
        <f t="shared" si="20"/>
        <v>0</v>
      </c>
      <c r="M131" s="16">
        <f>IF(OR(L131&gt;0,H131+J131&gt;0),1,0)</f>
        <v>0</v>
      </c>
      <c r="N131" s="13"/>
      <c r="O131" s="16"/>
      <c r="P131" s="16"/>
      <c r="Q131" s="16"/>
      <c r="R131" s="16"/>
      <c r="S131" s="16"/>
    </row>
    <row r="132" spans="2:20" ht="11.25" customHeight="1" x14ac:dyDescent="0.2">
      <c r="B132" s="20">
        <v>2.4</v>
      </c>
      <c r="C132" s="45" t="s">
        <v>20</v>
      </c>
      <c r="D132" s="46" t="s">
        <v>151</v>
      </c>
      <c r="E132" s="47"/>
      <c r="F132" s="47"/>
      <c r="G132" s="48"/>
      <c r="H132" s="49"/>
      <c r="I132" s="50">
        <f t="shared" si="19"/>
        <v>0</v>
      </c>
      <c r="J132" s="51"/>
      <c r="K132" s="52">
        <f t="shared" si="18"/>
        <v>0</v>
      </c>
      <c r="L132" s="53">
        <f t="shared" si="20"/>
        <v>0</v>
      </c>
      <c r="M132" s="16">
        <f>IF(SUM(M133:M134)&gt;0,1,0)</f>
        <v>0</v>
      </c>
      <c r="O132" s="16"/>
      <c r="P132" s="16"/>
      <c r="Q132" s="16"/>
      <c r="R132" s="16"/>
      <c r="S132" s="16"/>
      <c r="T132" s="16"/>
    </row>
    <row r="133" spans="2:20" s="98" customFormat="1" ht="11.25" customHeight="1" x14ac:dyDescent="0.2">
      <c r="B133" s="103"/>
      <c r="C133" s="99" t="s">
        <v>213</v>
      </c>
      <c r="D133" s="146" t="s">
        <v>373</v>
      </c>
      <c r="E133" s="90" t="s">
        <v>180</v>
      </c>
      <c r="F133" s="90" t="s">
        <v>180</v>
      </c>
      <c r="G133" s="101"/>
      <c r="H133" s="7"/>
      <c r="I133" s="50">
        <f t="shared" si="19"/>
        <v>0</v>
      </c>
      <c r="J133" s="51"/>
      <c r="K133" s="52">
        <f t="shared" si="18"/>
        <v>0</v>
      </c>
      <c r="L133" s="97">
        <f t="shared" si="20"/>
        <v>0</v>
      </c>
      <c r="M133" s="16">
        <f>IF(L133&gt;0,1,0)</f>
        <v>0</v>
      </c>
      <c r="N133" s="139"/>
      <c r="O133" s="16"/>
      <c r="P133" s="16"/>
      <c r="Q133" s="16"/>
      <c r="R133" s="16"/>
      <c r="S133" s="16"/>
    </row>
    <row r="134" spans="2:20" s="98" customFormat="1" ht="11.25" customHeight="1" x14ac:dyDescent="0.2">
      <c r="B134" s="103"/>
      <c r="C134" s="99" t="s">
        <v>181</v>
      </c>
      <c r="D134" s="100" t="s">
        <v>181</v>
      </c>
      <c r="E134" s="47" t="s">
        <v>343</v>
      </c>
      <c r="F134" s="90" t="s">
        <v>32</v>
      </c>
      <c r="G134" s="106">
        <f>0.12*H133+2</f>
        <v>2</v>
      </c>
      <c r="H134" s="105">
        <f>SUM(H135:H148)</f>
        <v>0</v>
      </c>
      <c r="I134" s="50">
        <f t="shared" si="19"/>
        <v>0</v>
      </c>
      <c r="J134" s="105">
        <f>+J136+J140+J144+J148</f>
        <v>0</v>
      </c>
      <c r="K134" s="52">
        <f t="shared" ref="K134:K200" si="22">+J134*G134</f>
        <v>0</v>
      </c>
      <c r="L134" s="97">
        <f t="shared" si="20"/>
        <v>0</v>
      </c>
      <c r="M134" s="16">
        <f>IF(L134&gt;0,1,0)</f>
        <v>0</v>
      </c>
      <c r="N134" s="139"/>
      <c r="O134" s="16"/>
      <c r="P134" s="16"/>
      <c r="Q134" s="16"/>
      <c r="R134" s="16"/>
      <c r="S134" s="16"/>
    </row>
    <row r="135" spans="2:20" ht="11.25" customHeight="1" x14ac:dyDescent="0.2">
      <c r="B135" s="20">
        <v>2.5</v>
      </c>
      <c r="C135" s="45" t="s">
        <v>21</v>
      </c>
      <c r="D135" s="46" t="s">
        <v>152</v>
      </c>
      <c r="E135" s="47"/>
      <c r="F135" s="47"/>
      <c r="G135" s="48"/>
      <c r="H135" s="49"/>
      <c r="I135" s="50">
        <f t="shared" si="19"/>
        <v>0</v>
      </c>
      <c r="J135" s="51"/>
      <c r="K135" s="52">
        <f t="shared" si="22"/>
        <v>0</v>
      </c>
      <c r="L135" s="53">
        <f t="shared" si="20"/>
        <v>0</v>
      </c>
      <c r="M135" s="16">
        <f>IF(SUM(M136:M148)&gt;0,1,0)</f>
        <v>0</v>
      </c>
      <c r="N135" s="139" t="s">
        <v>383</v>
      </c>
      <c r="O135" s="16"/>
      <c r="P135" s="16"/>
      <c r="Q135" s="16"/>
      <c r="R135" s="16"/>
      <c r="S135" s="16"/>
      <c r="T135" s="16"/>
    </row>
    <row r="136" spans="2:20" ht="11.25" customHeight="1" x14ac:dyDescent="0.2">
      <c r="B136" s="20" t="s">
        <v>254</v>
      </c>
      <c r="C136" s="86" t="s">
        <v>22</v>
      </c>
      <c r="D136" s="147" t="s">
        <v>153</v>
      </c>
      <c r="E136" s="47" t="s">
        <v>343</v>
      </c>
      <c r="F136" s="47" t="s">
        <v>32</v>
      </c>
      <c r="G136" s="48">
        <v>24</v>
      </c>
      <c r="H136" s="2"/>
      <c r="I136" s="50">
        <f t="shared" si="19"/>
        <v>0</v>
      </c>
      <c r="J136" s="9"/>
      <c r="K136" s="52">
        <f t="shared" si="22"/>
        <v>0</v>
      </c>
      <c r="L136" s="53">
        <f t="shared" si="20"/>
        <v>0</v>
      </c>
      <c r="M136" s="16">
        <f>IF(L136&gt;0,1,0)</f>
        <v>0</v>
      </c>
      <c r="N136" s="139"/>
      <c r="O136" s="16"/>
      <c r="P136" s="16"/>
      <c r="Q136" s="16"/>
      <c r="R136" s="16"/>
      <c r="S136" s="16"/>
      <c r="T136" s="16"/>
    </row>
    <row r="137" spans="2:20" ht="11.25" customHeight="1" x14ac:dyDescent="0.2">
      <c r="B137" s="20" t="s">
        <v>255</v>
      </c>
      <c r="C137" s="86" t="s">
        <v>23</v>
      </c>
      <c r="D137" s="147" t="s">
        <v>154</v>
      </c>
      <c r="E137" s="47"/>
      <c r="F137" s="47"/>
      <c r="G137" s="48"/>
      <c r="H137" s="49"/>
      <c r="I137" s="50">
        <f t="shared" si="19"/>
        <v>0</v>
      </c>
      <c r="J137" s="51"/>
      <c r="K137" s="52">
        <f t="shared" si="22"/>
        <v>0</v>
      </c>
      <c r="L137" s="53">
        <f t="shared" si="20"/>
        <v>0</v>
      </c>
      <c r="M137" s="16">
        <f>IF(SUM(M138:M140)&gt;0,1,0)</f>
        <v>0</v>
      </c>
      <c r="N137" s="139"/>
      <c r="O137" s="16"/>
      <c r="P137" s="16"/>
      <c r="Q137" s="16"/>
      <c r="R137" s="16"/>
      <c r="S137" s="16"/>
      <c r="T137" s="16"/>
    </row>
    <row r="138" spans="2:20" ht="11.25" customHeight="1" x14ac:dyDescent="0.2">
      <c r="B138" s="20" t="s">
        <v>256</v>
      </c>
      <c r="C138" s="89" t="s">
        <v>179</v>
      </c>
      <c r="D138" s="148" t="s">
        <v>374</v>
      </c>
      <c r="E138" s="47" t="s">
        <v>343</v>
      </c>
      <c r="F138" s="47" t="s">
        <v>32</v>
      </c>
      <c r="G138" s="48">
        <f>+G136</f>
        <v>24</v>
      </c>
      <c r="H138" s="2"/>
      <c r="I138" s="50">
        <f t="shared" si="19"/>
        <v>0</v>
      </c>
      <c r="J138" s="51"/>
      <c r="K138" s="52">
        <f t="shared" si="22"/>
        <v>0</v>
      </c>
      <c r="L138" s="53">
        <f t="shared" si="20"/>
        <v>0</v>
      </c>
      <c r="M138" s="16">
        <f>IF(L138&gt;0,1,0)</f>
        <v>0</v>
      </c>
      <c r="N138" s="139"/>
      <c r="O138" s="16"/>
      <c r="P138" s="16"/>
      <c r="Q138" s="16"/>
      <c r="R138" s="16"/>
      <c r="S138" s="16"/>
      <c r="T138" s="16"/>
    </row>
    <row r="139" spans="2:20" ht="11.25" customHeight="1" x14ac:dyDescent="0.2">
      <c r="B139" s="20"/>
      <c r="C139" s="89" t="s">
        <v>103</v>
      </c>
      <c r="D139" s="148" t="s">
        <v>375</v>
      </c>
      <c r="E139" s="47" t="s">
        <v>343</v>
      </c>
      <c r="F139" s="47" t="s">
        <v>32</v>
      </c>
      <c r="G139" s="48">
        <f>+G140-G138</f>
        <v>21</v>
      </c>
      <c r="H139" s="49"/>
      <c r="I139" s="50">
        <f t="shared" si="19"/>
        <v>0</v>
      </c>
      <c r="J139" s="51">
        <f>+H138</f>
        <v>0</v>
      </c>
      <c r="K139" s="52">
        <f t="shared" si="22"/>
        <v>0</v>
      </c>
      <c r="L139" s="53">
        <f t="shared" si="20"/>
        <v>0</v>
      </c>
      <c r="M139" s="16">
        <f>IF(L139&gt;0,1,0)</f>
        <v>0</v>
      </c>
      <c r="N139" s="139"/>
      <c r="O139" s="16"/>
      <c r="P139" s="16"/>
      <c r="Q139" s="16"/>
      <c r="R139" s="16"/>
      <c r="S139" s="16"/>
      <c r="T139" s="16"/>
    </row>
    <row r="140" spans="2:20" ht="11.25" customHeight="1" x14ac:dyDescent="0.2">
      <c r="B140" s="20" t="s">
        <v>257</v>
      </c>
      <c r="C140" s="89" t="s">
        <v>178</v>
      </c>
      <c r="D140" s="148" t="s">
        <v>328</v>
      </c>
      <c r="E140" s="47" t="s">
        <v>343</v>
      </c>
      <c r="F140" s="47" t="s">
        <v>32</v>
      </c>
      <c r="G140" s="48">
        <v>45</v>
      </c>
      <c r="H140" s="2"/>
      <c r="I140" s="50">
        <f t="shared" si="19"/>
        <v>0</v>
      </c>
      <c r="J140" s="9"/>
      <c r="K140" s="52">
        <f t="shared" si="22"/>
        <v>0</v>
      </c>
      <c r="L140" s="53">
        <f t="shared" si="20"/>
        <v>0</v>
      </c>
      <c r="M140" s="16">
        <f>IF(L140&gt;0,1,0)</f>
        <v>0</v>
      </c>
      <c r="N140" s="139"/>
      <c r="O140" s="16" t="s">
        <v>237</v>
      </c>
      <c r="P140" s="16"/>
      <c r="Q140" s="16"/>
      <c r="R140" s="16"/>
      <c r="S140" s="16"/>
      <c r="T140" s="16"/>
    </row>
    <row r="141" spans="2:20" ht="11.25" customHeight="1" x14ac:dyDescent="0.2">
      <c r="B141" s="20" t="s">
        <v>262</v>
      </c>
      <c r="C141" s="86" t="s">
        <v>24</v>
      </c>
      <c r="D141" s="147" t="s">
        <v>155</v>
      </c>
      <c r="E141" s="47"/>
      <c r="F141" s="47"/>
      <c r="G141" s="48"/>
      <c r="H141" s="49"/>
      <c r="I141" s="50">
        <f t="shared" ref="I141:I207" si="23">+H141*G141</f>
        <v>0</v>
      </c>
      <c r="J141" s="51"/>
      <c r="K141" s="52">
        <f t="shared" si="22"/>
        <v>0</v>
      </c>
      <c r="L141" s="53">
        <f t="shared" ref="L141:L207" si="24">+K141+I141</f>
        <v>0</v>
      </c>
      <c r="M141" s="16">
        <f>IF(SUM(M142:M144)&gt;0,1,0)</f>
        <v>0</v>
      </c>
      <c r="N141" s="139"/>
      <c r="O141" s="16"/>
      <c r="P141" s="16"/>
      <c r="Q141" s="16"/>
      <c r="R141" s="16"/>
      <c r="S141" s="16"/>
      <c r="T141" s="16"/>
    </row>
    <row r="142" spans="2:20" ht="11.25" customHeight="1" x14ac:dyDescent="0.2">
      <c r="B142" s="20" t="s">
        <v>258</v>
      </c>
      <c r="C142" s="89" t="s">
        <v>179</v>
      </c>
      <c r="D142" s="148" t="s">
        <v>374</v>
      </c>
      <c r="E142" s="47" t="s">
        <v>343</v>
      </c>
      <c r="F142" s="47" t="s">
        <v>32</v>
      </c>
      <c r="G142" s="48">
        <f>+G136</f>
        <v>24</v>
      </c>
      <c r="H142" s="2"/>
      <c r="I142" s="50">
        <f t="shared" si="23"/>
        <v>0</v>
      </c>
      <c r="J142" s="51"/>
      <c r="K142" s="52">
        <f t="shared" si="22"/>
        <v>0</v>
      </c>
      <c r="L142" s="53">
        <f t="shared" si="24"/>
        <v>0</v>
      </c>
      <c r="M142" s="16">
        <f>IF(L142&gt;0,1,0)</f>
        <v>0</v>
      </c>
      <c r="N142" s="139"/>
      <c r="O142" s="16"/>
      <c r="P142" s="16"/>
      <c r="Q142" s="16"/>
      <c r="R142" s="16"/>
      <c r="S142" s="16"/>
      <c r="T142" s="16"/>
    </row>
    <row r="143" spans="2:20" ht="11.25" customHeight="1" x14ac:dyDescent="0.2">
      <c r="B143" s="20"/>
      <c r="C143" s="89" t="s">
        <v>103</v>
      </c>
      <c r="D143" s="148" t="s">
        <v>376</v>
      </c>
      <c r="E143" s="47" t="s">
        <v>343</v>
      </c>
      <c r="F143" s="47" t="s">
        <v>32</v>
      </c>
      <c r="G143" s="48">
        <f>+G144-G142</f>
        <v>51</v>
      </c>
      <c r="H143" s="49"/>
      <c r="I143" s="50">
        <f t="shared" si="23"/>
        <v>0</v>
      </c>
      <c r="J143" s="51">
        <f>+H142</f>
        <v>0</v>
      </c>
      <c r="K143" s="52">
        <f t="shared" si="22"/>
        <v>0</v>
      </c>
      <c r="L143" s="53">
        <f t="shared" si="24"/>
        <v>0</v>
      </c>
      <c r="M143" s="16">
        <f>IF(L143&gt;0,1,0)</f>
        <v>0</v>
      </c>
      <c r="N143" s="139"/>
      <c r="O143" s="16"/>
      <c r="P143" s="16"/>
      <c r="Q143" s="16"/>
      <c r="R143" s="16"/>
      <c r="S143" s="16"/>
      <c r="T143" s="16"/>
    </row>
    <row r="144" spans="2:20" ht="11.25" customHeight="1" x14ac:dyDescent="0.2">
      <c r="B144" s="20" t="s">
        <v>259</v>
      </c>
      <c r="C144" s="89" t="s">
        <v>178</v>
      </c>
      <c r="D144" s="148" t="s">
        <v>328</v>
      </c>
      <c r="E144" s="47" t="s">
        <v>343</v>
      </c>
      <c r="F144" s="47" t="s">
        <v>32</v>
      </c>
      <c r="G144" s="48">
        <v>75</v>
      </c>
      <c r="H144" s="2"/>
      <c r="I144" s="50">
        <f t="shared" si="23"/>
        <v>0</v>
      </c>
      <c r="J144" s="9"/>
      <c r="K144" s="52">
        <f t="shared" si="22"/>
        <v>0</v>
      </c>
      <c r="L144" s="53">
        <f t="shared" si="24"/>
        <v>0</v>
      </c>
      <c r="M144" s="16">
        <f>IF(L144&gt;0,1,0)</f>
        <v>0</v>
      </c>
      <c r="N144" s="139"/>
      <c r="O144" s="16"/>
      <c r="P144" s="16"/>
      <c r="Q144" s="16"/>
      <c r="R144" s="16"/>
      <c r="S144" s="16"/>
      <c r="T144" s="16"/>
    </row>
    <row r="145" spans="2:20" ht="11.25" customHeight="1" x14ac:dyDescent="0.2">
      <c r="B145" s="20" t="s">
        <v>260</v>
      </c>
      <c r="C145" s="86" t="s">
        <v>25</v>
      </c>
      <c r="D145" s="147" t="s">
        <v>156</v>
      </c>
      <c r="E145" s="47"/>
      <c r="F145" s="47"/>
      <c r="G145" s="48"/>
      <c r="H145" s="49"/>
      <c r="I145" s="50">
        <f t="shared" si="23"/>
        <v>0</v>
      </c>
      <c r="J145" s="51"/>
      <c r="K145" s="52">
        <f t="shared" si="22"/>
        <v>0</v>
      </c>
      <c r="L145" s="53">
        <f t="shared" si="24"/>
        <v>0</v>
      </c>
      <c r="M145" s="16">
        <f>IF(SUM(M146:M148)&gt;0,1,0)</f>
        <v>0</v>
      </c>
      <c r="N145" s="139"/>
      <c r="O145" s="16"/>
      <c r="P145" s="16"/>
      <c r="Q145" s="16"/>
      <c r="R145" s="16"/>
      <c r="S145" s="16"/>
      <c r="T145" s="16"/>
    </row>
    <row r="146" spans="2:20" ht="11.25" customHeight="1" x14ac:dyDescent="0.2">
      <c r="B146" s="20" t="s">
        <v>261</v>
      </c>
      <c r="C146" s="89" t="s">
        <v>179</v>
      </c>
      <c r="D146" s="148" t="s">
        <v>374</v>
      </c>
      <c r="E146" s="47" t="s">
        <v>343</v>
      </c>
      <c r="F146" s="47" t="s">
        <v>32</v>
      </c>
      <c r="G146" s="48">
        <f>+G136</f>
        <v>24</v>
      </c>
      <c r="H146" s="2"/>
      <c r="I146" s="50">
        <f t="shared" si="23"/>
        <v>0</v>
      </c>
      <c r="J146" s="51"/>
      <c r="K146" s="52">
        <f t="shared" si="22"/>
        <v>0</v>
      </c>
      <c r="L146" s="53">
        <f t="shared" si="24"/>
        <v>0</v>
      </c>
      <c r="M146" s="16">
        <f>IF(L146&gt;0,1,0)</f>
        <v>0</v>
      </c>
      <c r="N146" s="139"/>
      <c r="O146" s="16"/>
      <c r="P146" s="16"/>
      <c r="Q146" s="16"/>
      <c r="R146" s="16"/>
      <c r="S146" s="16"/>
      <c r="T146" s="16"/>
    </row>
    <row r="147" spans="2:20" ht="11.25" customHeight="1" x14ac:dyDescent="0.2">
      <c r="B147" s="20"/>
      <c r="C147" s="89" t="s">
        <v>103</v>
      </c>
      <c r="D147" s="148" t="s">
        <v>375</v>
      </c>
      <c r="E147" s="47" t="s">
        <v>343</v>
      </c>
      <c r="F147" s="47" t="s">
        <v>32</v>
      </c>
      <c r="G147" s="48">
        <f>+G148-G146</f>
        <v>76</v>
      </c>
      <c r="H147" s="49"/>
      <c r="I147" s="50">
        <f t="shared" si="23"/>
        <v>0</v>
      </c>
      <c r="J147" s="51">
        <f>+H146</f>
        <v>0</v>
      </c>
      <c r="K147" s="52">
        <f t="shared" si="22"/>
        <v>0</v>
      </c>
      <c r="L147" s="53">
        <f t="shared" si="24"/>
        <v>0</v>
      </c>
      <c r="M147" s="16">
        <f>IF(L147&gt;0,1,0)</f>
        <v>0</v>
      </c>
      <c r="N147" s="139"/>
      <c r="O147" s="16"/>
      <c r="P147" s="16"/>
      <c r="Q147" s="16"/>
      <c r="R147" s="16"/>
      <c r="S147" s="16"/>
      <c r="T147" s="16"/>
    </row>
    <row r="148" spans="2:20" ht="11.25" customHeight="1" x14ac:dyDescent="0.2">
      <c r="B148" s="20" t="s">
        <v>263</v>
      </c>
      <c r="C148" s="89" t="s">
        <v>178</v>
      </c>
      <c r="D148" s="148" t="s">
        <v>328</v>
      </c>
      <c r="E148" s="47" t="s">
        <v>343</v>
      </c>
      <c r="F148" s="47" t="s">
        <v>32</v>
      </c>
      <c r="G148" s="48">
        <v>100</v>
      </c>
      <c r="H148" s="2"/>
      <c r="I148" s="50">
        <f t="shared" si="23"/>
        <v>0</v>
      </c>
      <c r="J148" s="9"/>
      <c r="K148" s="52">
        <f t="shared" si="22"/>
        <v>0</v>
      </c>
      <c r="L148" s="53">
        <f t="shared" si="24"/>
        <v>0</v>
      </c>
      <c r="M148" s="16">
        <f>IF(L148&gt;0,1,0)</f>
        <v>0</v>
      </c>
      <c r="N148" s="139"/>
      <c r="O148" s="16"/>
      <c r="P148" s="16"/>
      <c r="Q148" s="16"/>
      <c r="R148" s="16"/>
      <c r="S148" s="16"/>
      <c r="T148" s="16"/>
    </row>
    <row r="149" spans="2:20" ht="11.25" customHeight="1" x14ac:dyDescent="0.2">
      <c r="B149" s="20">
        <v>2.6</v>
      </c>
      <c r="C149" s="45" t="s">
        <v>26</v>
      </c>
      <c r="D149" s="149" t="s">
        <v>377</v>
      </c>
      <c r="E149" s="47"/>
      <c r="F149" s="47"/>
      <c r="G149" s="48"/>
      <c r="H149" s="49"/>
      <c r="I149" s="50">
        <f t="shared" si="23"/>
        <v>0</v>
      </c>
      <c r="J149" s="51"/>
      <c r="K149" s="52">
        <f t="shared" si="22"/>
        <v>0</v>
      </c>
      <c r="L149" s="53">
        <f t="shared" si="24"/>
        <v>0</v>
      </c>
      <c r="M149" s="16">
        <f>IF(SUM(M150:M225)&gt;0,1,0)</f>
        <v>0</v>
      </c>
      <c r="N149" s="13" t="s">
        <v>381</v>
      </c>
      <c r="O149" s="16"/>
      <c r="P149" s="16"/>
      <c r="Q149" s="16"/>
      <c r="R149" s="16"/>
      <c r="S149" s="16"/>
      <c r="T149" s="16"/>
    </row>
    <row r="150" spans="2:20" ht="11.25" customHeight="1" x14ac:dyDescent="0.2">
      <c r="B150" s="20" t="s">
        <v>294</v>
      </c>
      <c r="C150" s="86" t="s">
        <v>298</v>
      </c>
      <c r="D150" s="149" t="s">
        <v>329</v>
      </c>
      <c r="E150" s="47"/>
      <c r="F150" s="47"/>
      <c r="G150" s="48"/>
      <c r="H150" s="49"/>
      <c r="I150" s="50"/>
      <c r="J150" s="51"/>
      <c r="K150" s="52"/>
      <c r="L150" s="53"/>
      <c r="M150" s="16">
        <f>IF(SUM(M151:M152)&gt;0,1,0)</f>
        <v>0</v>
      </c>
      <c r="O150" s="16"/>
      <c r="P150" s="16"/>
      <c r="Q150" s="16"/>
      <c r="R150" s="16"/>
      <c r="S150" s="16"/>
      <c r="T150" s="16"/>
    </row>
    <row r="151" spans="2:20" s="98" customFormat="1" ht="11.25" customHeight="1" x14ac:dyDescent="0.2">
      <c r="B151" s="109">
        <v>1</v>
      </c>
      <c r="C151" s="99" t="s">
        <v>297</v>
      </c>
      <c r="D151" s="146" t="s">
        <v>330</v>
      </c>
      <c r="E151" s="90" t="s">
        <v>31</v>
      </c>
      <c r="F151" s="90" t="s">
        <v>31</v>
      </c>
      <c r="G151" s="101">
        <v>2300</v>
      </c>
      <c r="H151" s="7"/>
      <c r="I151" s="50">
        <f t="shared" ref="I151:I152" si="25">+H151*G151</f>
        <v>0</v>
      </c>
      <c r="J151" s="7"/>
      <c r="K151" s="52">
        <f t="shared" ref="K151:K152" si="26">+J151*G151</f>
        <v>0</v>
      </c>
      <c r="L151" s="97">
        <f t="shared" ref="L151:L152" si="27">+K151+I151</f>
        <v>0</v>
      </c>
      <c r="M151" s="16">
        <f>IF(L151&gt;0,1,0)</f>
        <v>0</v>
      </c>
      <c r="N151" s="13">
        <f>5*15+566+5*31.7+ 7*211</f>
        <v>2276.5</v>
      </c>
      <c r="O151" s="16"/>
      <c r="P151" s="16" t="s">
        <v>300</v>
      </c>
      <c r="Q151" s="16"/>
      <c r="R151" s="16"/>
      <c r="S151" s="16"/>
    </row>
    <row r="152" spans="2:20" s="98" customFormat="1" ht="11.25" customHeight="1" x14ac:dyDescent="0.2">
      <c r="B152" s="109">
        <v>2</v>
      </c>
      <c r="C152" s="99" t="s">
        <v>296</v>
      </c>
      <c r="D152" s="146" t="s">
        <v>331</v>
      </c>
      <c r="E152" s="90" t="s">
        <v>342</v>
      </c>
      <c r="F152" s="90" t="s">
        <v>7</v>
      </c>
      <c r="G152" s="101">
        <v>125</v>
      </c>
      <c r="H152" s="7"/>
      <c r="I152" s="50">
        <f t="shared" si="25"/>
        <v>0</v>
      </c>
      <c r="J152" s="7"/>
      <c r="K152" s="52">
        <f t="shared" si="26"/>
        <v>0</v>
      </c>
      <c r="L152" s="97">
        <f t="shared" si="27"/>
        <v>0</v>
      </c>
      <c r="M152" s="16">
        <f>IF(L152&gt;0,1,0)</f>
        <v>0</v>
      </c>
      <c r="N152" s="13">
        <f xml:space="preserve"> 15+ 30+211/4*1.5</f>
        <v>124.125</v>
      </c>
      <c r="O152" s="16"/>
      <c r="P152" s="16" t="s">
        <v>299</v>
      </c>
      <c r="Q152" s="16"/>
      <c r="R152" s="16"/>
      <c r="S152" s="16"/>
    </row>
    <row r="153" spans="2:20" ht="11.25" customHeight="1" x14ac:dyDescent="0.2">
      <c r="B153" s="20" t="s">
        <v>264</v>
      </c>
      <c r="C153" s="86" t="s">
        <v>40</v>
      </c>
      <c r="D153" s="141" t="s">
        <v>157</v>
      </c>
      <c r="E153" s="47"/>
      <c r="F153" s="47"/>
      <c r="G153" s="48"/>
      <c r="H153" s="49"/>
      <c r="I153" s="50">
        <f t="shared" si="23"/>
        <v>0</v>
      </c>
      <c r="J153" s="51"/>
      <c r="K153" s="52">
        <f t="shared" si="22"/>
        <v>0</v>
      </c>
      <c r="L153" s="53">
        <f t="shared" si="24"/>
        <v>0</v>
      </c>
      <c r="M153" s="16">
        <f>IF(SUM(M154:M167)&gt;0,1,0)</f>
        <v>0</v>
      </c>
      <c r="O153" s="16"/>
      <c r="P153" s="16"/>
      <c r="Q153" s="16"/>
      <c r="R153" s="16"/>
      <c r="S153" s="16"/>
      <c r="T153" s="16"/>
    </row>
    <row r="154" spans="2:20" ht="11.25" customHeight="1" x14ac:dyDescent="0.2">
      <c r="B154" s="20" t="s">
        <v>265</v>
      </c>
      <c r="C154" s="89" t="s">
        <v>27</v>
      </c>
      <c r="D154" s="142" t="s">
        <v>129</v>
      </c>
      <c r="E154" s="47"/>
      <c r="F154" s="47"/>
      <c r="G154" s="48"/>
      <c r="H154" s="107"/>
      <c r="I154" s="50">
        <f t="shared" si="23"/>
        <v>0</v>
      </c>
      <c r="J154" s="108"/>
      <c r="K154" s="52">
        <f t="shared" si="22"/>
        <v>0</v>
      </c>
      <c r="L154" s="53">
        <f t="shared" si="24"/>
        <v>0</v>
      </c>
      <c r="M154" s="16">
        <f>IF(SUM(M155:M160)&gt;0,1,0)</f>
        <v>0</v>
      </c>
      <c r="O154" s="16"/>
      <c r="P154" s="16"/>
      <c r="Q154" s="16"/>
      <c r="R154" s="16"/>
      <c r="S154" s="16"/>
      <c r="T154" s="16"/>
    </row>
    <row r="155" spans="2:20" s="98" customFormat="1" ht="11.25" customHeight="1" x14ac:dyDescent="0.2">
      <c r="B155" s="109" t="s">
        <v>72</v>
      </c>
      <c r="C155" s="99" t="s">
        <v>234</v>
      </c>
      <c r="D155" s="100" t="s">
        <v>158</v>
      </c>
      <c r="E155" s="90" t="s">
        <v>166</v>
      </c>
      <c r="F155" s="90" t="s">
        <v>33</v>
      </c>
      <c r="G155" s="101">
        <v>1500</v>
      </c>
      <c r="H155" s="7"/>
      <c r="I155" s="50">
        <f t="shared" si="23"/>
        <v>0</v>
      </c>
      <c r="J155" s="7"/>
      <c r="K155" s="52">
        <f t="shared" si="22"/>
        <v>0</v>
      </c>
      <c r="L155" s="97">
        <f t="shared" si="24"/>
        <v>0</v>
      </c>
      <c r="M155" s="16">
        <f t="shared" ref="M155:M159" si="28">IF(L155&gt;0,1,0)</f>
        <v>0</v>
      </c>
      <c r="N155" s="13"/>
      <c r="O155" s="16"/>
      <c r="P155" s="16" t="s">
        <v>295</v>
      </c>
      <c r="Q155" s="16"/>
      <c r="R155" s="16"/>
      <c r="S155" s="16"/>
    </row>
    <row r="156" spans="2:20" s="98" customFormat="1" ht="11.25" customHeight="1" x14ac:dyDescent="0.2">
      <c r="B156" s="103">
        <v>1.1000000000000001</v>
      </c>
      <c r="C156" s="99" t="s">
        <v>201</v>
      </c>
      <c r="D156" s="146" t="s">
        <v>288</v>
      </c>
      <c r="E156" s="90" t="s">
        <v>166</v>
      </c>
      <c r="F156" s="90" t="s">
        <v>33</v>
      </c>
      <c r="G156" s="101">
        <v>1200</v>
      </c>
      <c r="H156" s="7"/>
      <c r="I156" s="50">
        <f t="shared" si="23"/>
        <v>0</v>
      </c>
      <c r="J156" s="7"/>
      <c r="K156" s="52">
        <f t="shared" si="22"/>
        <v>0</v>
      </c>
      <c r="L156" s="97">
        <f t="shared" si="24"/>
        <v>0</v>
      </c>
      <c r="M156" s="16">
        <f t="shared" si="28"/>
        <v>0</v>
      </c>
      <c r="N156" s="13">
        <v>1150</v>
      </c>
      <c r="O156" s="16"/>
      <c r="P156" s="16"/>
      <c r="Q156" s="16"/>
      <c r="R156" s="16"/>
      <c r="S156" s="16"/>
    </row>
    <row r="157" spans="2:20" s="98" customFormat="1" ht="11.25" customHeight="1" x14ac:dyDescent="0.2">
      <c r="B157" s="103">
        <v>1.2</v>
      </c>
      <c r="C157" s="99" t="s">
        <v>202</v>
      </c>
      <c r="D157" s="146" t="s">
        <v>332</v>
      </c>
      <c r="E157" s="90" t="s">
        <v>166</v>
      </c>
      <c r="F157" s="90" t="s">
        <v>33</v>
      </c>
      <c r="G157" s="101">
        <v>650</v>
      </c>
      <c r="H157" s="7"/>
      <c r="I157" s="50">
        <f t="shared" ref="I157" si="29">+H157*G157</f>
        <v>0</v>
      </c>
      <c r="J157" s="7"/>
      <c r="K157" s="52">
        <f t="shared" ref="K157" si="30">+J157*G157</f>
        <v>0</v>
      </c>
      <c r="L157" s="97">
        <f t="shared" ref="L157" si="31">+K157+I157</f>
        <v>0</v>
      </c>
      <c r="M157" s="16">
        <f t="shared" si="28"/>
        <v>0</v>
      </c>
      <c r="N157" s="13">
        <f>360+100*2.9</f>
        <v>650</v>
      </c>
      <c r="O157" s="16"/>
      <c r="P157" s="16"/>
      <c r="Q157" s="16"/>
      <c r="R157" s="16"/>
      <c r="S157" s="16"/>
    </row>
    <row r="158" spans="2:20" s="98" customFormat="1" ht="11.25" customHeight="1" x14ac:dyDescent="0.2">
      <c r="B158" s="103">
        <v>1.3</v>
      </c>
      <c r="C158" s="99" t="s">
        <v>203</v>
      </c>
      <c r="D158" s="146" t="s">
        <v>333</v>
      </c>
      <c r="E158" s="90" t="s">
        <v>166</v>
      </c>
      <c r="F158" s="90" t="s">
        <v>33</v>
      </c>
      <c r="G158" s="101">
        <v>2500</v>
      </c>
      <c r="H158" s="7"/>
      <c r="I158" s="50">
        <f t="shared" si="23"/>
        <v>0</v>
      </c>
      <c r="J158" s="7"/>
      <c r="K158" s="52">
        <f t="shared" si="22"/>
        <v>0</v>
      </c>
      <c r="L158" s="97">
        <f t="shared" si="24"/>
        <v>0</v>
      </c>
      <c r="M158" s="16">
        <f>IF(L158&gt;0,1,0)</f>
        <v>0</v>
      </c>
      <c r="N158" s="13">
        <f>650+2.9*625</f>
        <v>2462.5</v>
      </c>
      <c r="O158" s="16"/>
      <c r="P158" s="16"/>
      <c r="Q158" s="16"/>
      <c r="R158" s="16"/>
      <c r="S158" s="16"/>
    </row>
    <row r="159" spans="2:20" s="98" customFormat="1" ht="11.25" customHeight="1" x14ac:dyDescent="0.2">
      <c r="B159" s="103">
        <v>1.4</v>
      </c>
      <c r="C159" s="99" t="s">
        <v>289</v>
      </c>
      <c r="D159" s="146" t="s">
        <v>334</v>
      </c>
      <c r="E159" s="90" t="s">
        <v>31</v>
      </c>
      <c r="F159" s="90" t="s">
        <v>31</v>
      </c>
      <c r="G159" s="101">
        <v>5680</v>
      </c>
      <c r="H159" s="7"/>
      <c r="I159" s="50">
        <f t="shared" si="23"/>
        <v>0</v>
      </c>
      <c r="J159" s="7"/>
      <c r="K159" s="52">
        <f t="shared" si="22"/>
        <v>0</v>
      </c>
      <c r="L159" s="97">
        <f t="shared" si="24"/>
        <v>0</v>
      </c>
      <c r="M159" s="16">
        <f t="shared" si="28"/>
        <v>0</v>
      </c>
      <c r="N159" s="13">
        <v>5680</v>
      </c>
      <c r="O159" s="16"/>
      <c r="P159" s="16"/>
      <c r="Q159" s="16"/>
      <c r="R159" s="16"/>
      <c r="S159" s="16"/>
    </row>
    <row r="160" spans="2:20" s="98" customFormat="1" ht="11.25" customHeight="1" x14ac:dyDescent="0.2">
      <c r="B160" s="103">
        <v>2</v>
      </c>
      <c r="C160" s="11" t="s">
        <v>63</v>
      </c>
      <c r="D160" s="144" t="s">
        <v>124</v>
      </c>
      <c r="E160" s="143"/>
      <c r="F160" s="143"/>
      <c r="G160" s="8"/>
      <c r="H160" s="7"/>
      <c r="I160" s="50">
        <f t="shared" si="23"/>
        <v>0</v>
      </c>
      <c r="J160" s="7"/>
      <c r="K160" s="52">
        <f t="shared" si="22"/>
        <v>0</v>
      </c>
      <c r="L160" s="97">
        <f t="shared" si="24"/>
        <v>0</v>
      </c>
      <c r="M160" s="16">
        <f>IF(OR(L160&gt;0,H160+J160&gt;0),1,0)</f>
        <v>0</v>
      </c>
      <c r="N160" s="13"/>
      <c r="O160" s="16"/>
      <c r="P160" s="16"/>
      <c r="Q160" s="16"/>
      <c r="R160" s="16"/>
      <c r="S160" s="16"/>
    </row>
    <row r="161" spans="2:20" ht="11.25" customHeight="1" x14ac:dyDescent="0.2">
      <c r="B161" s="20" t="s">
        <v>266</v>
      </c>
      <c r="C161" s="89" t="s">
        <v>28</v>
      </c>
      <c r="D161" s="142" t="s">
        <v>131</v>
      </c>
      <c r="E161" s="47"/>
      <c r="F161" s="47"/>
      <c r="G161" s="48"/>
      <c r="H161" s="49"/>
      <c r="I161" s="50">
        <f t="shared" si="23"/>
        <v>0</v>
      </c>
      <c r="J161" s="49"/>
      <c r="K161" s="52">
        <f t="shared" si="22"/>
        <v>0</v>
      </c>
      <c r="L161" s="53">
        <f t="shared" si="24"/>
        <v>0</v>
      </c>
      <c r="M161" s="16">
        <f>IF(SUM(M162:M167)&gt;0,1,0)</f>
        <v>0</v>
      </c>
      <c r="O161" s="16"/>
      <c r="P161" s="16"/>
      <c r="Q161" s="16"/>
      <c r="R161" s="16"/>
      <c r="S161" s="16"/>
      <c r="T161" s="16"/>
    </row>
    <row r="162" spans="2:20" s="98" customFormat="1" ht="11.25" customHeight="1" x14ac:dyDescent="0.2">
      <c r="B162" s="103">
        <v>1.1000000000000001</v>
      </c>
      <c r="C162" s="99" t="s">
        <v>201</v>
      </c>
      <c r="D162" s="100" t="s">
        <v>335</v>
      </c>
      <c r="E162" s="90" t="s">
        <v>342</v>
      </c>
      <c r="F162" s="90" t="s">
        <v>7</v>
      </c>
      <c r="G162" s="101">
        <v>182</v>
      </c>
      <c r="H162" s="7"/>
      <c r="I162" s="50">
        <f t="shared" si="23"/>
        <v>0</v>
      </c>
      <c r="J162" s="7"/>
      <c r="K162" s="52">
        <f t="shared" si="22"/>
        <v>0</v>
      </c>
      <c r="L162" s="97">
        <f t="shared" si="24"/>
        <v>0</v>
      </c>
      <c r="M162" s="16">
        <f t="shared" ref="M162:M166" si="32">IF(L162&gt;0,1,0)</f>
        <v>0</v>
      </c>
      <c r="N162" s="13">
        <f>122+60</f>
        <v>182</v>
      </c>
      <c r="O162" s="16"/>
      <c r="P162" s="16"/>
      <c r="Q162" s="16"/>
      <c r="R162" s="16"/>
      <c r="S162" s="16"/>
    </row>
    <row r="163" spans="2:20" s="98" customFormat="1" ht="11.25" customHeight="1" x14ac:dyDescent="0.2">
      <c r="B163" s="103">
        <v>1.2</v>
      </c>
      <c r="C163" s="99" t="s">
        <v>204</v>
      </c>
      <c r="D163" s="100" t="s">
        <v>336</v>
      </c>
      <c r="E163" s="90" t="s">
        <v>342</v>
      </c>
      <c r="F163" s="90" t="s">
        <v>7</v>
      </c>
      <c r="G163" s="101">
        <v>31.7</v>
      </c>
      <c r="H163" s="7"/>
      <c r="I163" s="50">
        <f t="shared" ref="I163" si="33">+H163*G163</f>
        <v>0</v>
      </c>
      <c r="J163" s="7"/>
      <c r="K163" s="52">
        <f t="shared" ref="K163" si="34">+J163*G163</f>
        <v>0</v>
      </c>
      <c r="L163" s="97">
        <f t="shared" ref="L163" si="35">+K163+I163</f>
        <v>0</v>
      </c>
      <c r="M163" s="16">
        <f t="shared" si="32"/>
        <v>0</v>
      </c>
      <c r="N163" s="13">
        <v>31.7</v>
      </c>
      <c r="O163" s="16"/>
      <c r="P163" s="16"/>
      <c r="Q163" s="16"/>
      <c r="R163" s="16"/>
      <c r="S163" s="16"/>
    </row>
    <row r="164" spans="2:20" s="98" customFormat="1" ht="11.25" customHeight="1" x14ac:dyDescent="0.2">
      <c r="B164" s="103">
        <v>1.3</v>
      </c>
      <c r="C164" s="99" t="s">
        <v>205</v>
      </c>
      <c r="D164" s="100" t="s">
        <v>337</v>
      </c>
      <c r="E164" s="90" t="s">
        <v>342</v>
      </c>
      <c r="F164" s="90" t="s">
        <v>7</v>
      </c>
      <c r="G164" s="101">
        <v>42.2</v>
      </c>
      <c r="H164" s="7"/>
      <c r="I164" s="50">
        <f t="shared" si="23"/>
        <v>0</v>
      </c>
      <c r="J164" s="7"/>
      <c r="K164" s="52">
        <f t="shared" si="22"/>
        <v>0</v>
      </c>
      <c r="L164" s="97">
        <f t="shared" si="24"/>
        <v>0</v>
      </c>
      <c r="M164" s="16">
        <f t="shared" si="32"/>
        <v>0</v>
      </c>
      <c r="N164" s="13">
        <v>42.2</v>
      </c>
      <c r="O164" s="16"/>
      <c r="P164" s="16"/>
      <c r="Q164" s="16"/>
      <c r="R164" s="16"/>
      <c r="S164" s="16"/>
    </row>
    <row r="165" spans="2:20" s="98" customFormat="1" ht="11.25" customHeight="1" x14ac:dyDescent="0.2">
      <c r="B165" s="103">
        <v>1.4</v>
      </c>
      <c r="C165" s="99" t="s">
        <v>289</v>
      </c>
      <c r="D165" s="146" t="s">
        <v>334</v>
      </c>
      <c r="E165" s="90" t="s">
        <v>342</v>
      </c>
      <c r="F165" s="90" t="s">
        <v>7</v>
      </c>
      <c r="G165" s="101">
        <v>771</v>
      </c>
      <c r="H165" s="7"/>
      <c r="I165" s="50">
        <f t="shared" ref="I165" si="36">+H165*G165</f>
        <v>0</v>
      </c>
      <c r="J165" s="7"/>
      <c r="K165" s="52">
        <f t="shared" ref="K165" si="37">+J165*G165</f>
        <v>0</v>
      </c>
      <c r="L165" s="97">
        <f t="shared" ref="L165" si="38">+K165+I165</f>
        <v>0</v>
      </c>
      <c r="M165" s="16">
        <f t="shared" si="32"/>
        <v>0</v>
      </c>
      <c r="N165" s="13">
        <v>771</v>
      </c>
      <c r="O165" s="16"/>
      <c r="P165" s="16"/>
      <c r="Q165" s="16"/>
      <c r="R165" s="16"/>
      <c r="S165" s="16"/>
    </row>
    <row r="166" spans="2:20" s="98" customFormat="1" ht="11.25" customHeight="1" x14ac:dyDescent="0.2">
      <c r="B166" s="103">
        <v>3</v>
      </c>
      <c r="C166" s="99" t="s">
        <v>69</v>
      </c>
      <c r="D166" s="100" t="s">
        <v>322</v>
      </c>
      <c r="E166" s="90" t="s">
        <v>47</v>
      </c>
      <c r="F166" s="90" t="s">
        <v>47</v>
      </c>
      <c r="G166" s="138">
        <v>3.5</v>
      </c>
      <c r="H166" s="7"/>
      <c r="I166" s="50">
        <f t="shared" si="23"/>
        <v>0</v>
      </c>
      <c r="J166" s="7"/>
      <c r="K166" s="52">
        <f t="shared" si="22"/>
        <v>0</v>
      </c>
      <c r="L166" s="97">
        <f t="shared" si="24"/>
        <v>0</v>
      </c>
      <c r="M166" s="16">
        <f t="shared" si="32"/>
        <v>0</v>
      </c>
      <c r="N166" s="13">
        <f>2.9+300/500</f>
        <v>3.5</v>
      </c>
      <c r="O166" s="16"/>
      <c r="P166" s="16" t="s">
        <v>200</v>
      </c>
      <c r="Q166" s="16"/>
      <c r="R166" s="16"/>
      <c r="S166" s="16"/>
    </row>
    <row r="167" spans="2:20" s="98" customFormat="1" ht="11.25" customHeight="1" x14ac:dyDescent="0.2">
      <c r="B167" s="103">
        <v>4</v>
      </c>
      <c r="C167" s="11" t="s">
        <v>63</v>
      </c>
      <c r="D167" s="144" t="s">
        <v>124</v>
      </c>
      <c r="E167" s="143"/>
      <c r="F167" s="143"/>
      <c r="G167" s="8"/>
      <c r="H167" s="7"/>
      <c r="I167" s="50">
        <f t="shared" si="23"/>
        <v>0</v>
      </c>
      <c r="J167" s="7"/>
      <c r="K167" s="52">
        <f t="shared" si="22"/>
        <v>0</v>
      </c>
      <c r="L167" s="97">
        <f t="shared" si="24"/>
        <v>0</v>
      </c>
      <c r="M167" s="16">
        <f>IF(OR(L167&gt;0,H167+J167&gt;0),1,0)</f>
        <v>0</v>
      </c>
      <c r="N167" s="13"/>
      <c r="O167" s="16"/>
      <c r="P167" s="16"/>
      <c r="Q167" s="16"/>
      <c r="R167" s="16"/>
      <c r="S167" s="16"/>
    </row>
    <row r="168" spans="2:20" ht="11.25" customHeight="1" x14ac:dyDescent="0.2">
      <c r="B168" s="20" t="s">
        <v>267</v>
      </c>
      <c r="C168" s="86" t="s">
        <v>85</v>
      </c>
      <c r="D168" s="141" t="s">
        <v>338</v>
      </c>
      <c r="E168" s="47"/>
      <c r="F168" s="47"/>
      <c r="G168" s="48"/>
      <c r="H168" s="49"/>
      <c r="I168" s="50">
        <f t="shared" si="23"/>
        <v>0</v>
      </c>
      <c r="J168" s="49"/>
      <c r="K168" s="52">
        <f t="shared" si="22"/>
        <v>0</v>
      </c>
      <c r="L168" s="53">
        <f t="shared" si="24"/>
        <v>0</v>
      </c>
      <c r="M168" s="16">
        <f>IF(SUM(M169:M223)&gt;0,1,0)</f>
        <v>0</v>
      </c>
      <c r="O168" s="16"/>
      <c r="P168" s="16"/>
      <c r="Q168" s="16"/>
      <c r="R168" s="16"/>
      <c r="S168" s="16"/>
      <c r="T168" s="16"/>
    </row>
    <row r="169" spans="2:20" ht="11.25" customHeight="1" x14ac:dyDescent="0.2">
      <c r="B169" s="20" t="s">
        <v>268</v>
      </c>
      <c r="C169" s="89" t="s">
        <v>27</v>
      </c>
      <c r="D169" s="142" t="s">
        <v>129</v>
      </c>
      <c r="E169" s="47"/>
      <c r="F169" s="47"/>
      <c r="G169" s="48"/>
      <c r="H169" s="49"/>
      <c r="I169" s="50">
        <f t="shared" si="23"/>
        <v>0</v>
      </c>
      <c r="J169" s="49"/>
      <c r="K169" s="52">
        <f t="shared" si="22"/>
        <v>0</v>
      </c>
      <c r="L169" s="53">
        <f t="shared" si="24"/>
        <v>0</v>
      </c>
      <c r="M169" s="16">
        <f>IF(SUM(M170:M195)&gt;0,1,0)</f>
        <v>0</v>
      </c>
      <c r="O169" s="16"/>
      <c r="P169" s="16"/>
      <c r="Q169" s="16"/>
      <c r="R169" s="16"/>
      <c r="S169" s="16"/>
      <c r="T169" s="16"/>
    </row>
    <row r="170" spans="2:20" s="98" customFormat="1" ht="11.25" customHeight="1" x14ac:dyDescent="0.2">
      <c r="B170" s="103">
        <v>1</v>
      </c>
      <c r="C170" s="99" t="s">
        <v>70</v>
      </c>
      <c r="D170" s="100" t="s">
        <v>159</v>
      </c>
      <c r="E170" s="90" t="s">
        <v>166</v>
      </c>
      <c r="F170" s="90" t="s">
        <v>33</v>
      </c>
      <c r="G170" s="101">
        <v>667</v>
      </c>
      <c r="H170" s="7"/>
      <c r="I170" s="50">
        <f t="shared" si="23"/>
        <v>0</v>
      </c>
      <c r="J170" s="7"/>
      <c r="K170" s="52">
        <f t="shared" si="22"/>
        <v>0</v>
      </c>
      <c r="L170" s="97">
        <f t="shared" si="24"/>
        <v>0</v>
      </c>
      <c r="M170" s="16">
        <f>IF(L170&gt;0,1,0)</f>
        <v>0</v>
      </c>
      <c r="N170" s="13">
        <v>667</v>
      </c>
      <c r="O170" s="16"/>
      <c r="P170" s="16"/>
      <c r="Q170" s="16"/>
      <c r="R170" s="16"/>
      <c r="S170" s="16"/>
    </row>
    <row r="171" spans="2:20" s="98" customFormat="1" ht="11.25" customHeight="1" x14ac:dyDescent="0.2">
      <c r="B171" s="103">
        <v>2</v>
      </c>
      <c r="C171" s="99" t="s">
        <v>101</v>
      </c>
      <c r="D171" s="100" t="s">
        <v>378</v>
      </c>
      <c r="E171" s="90"/>
      <c r="F171" s="90"/>
      <c r="G171" s="101"/>
      <c r="H171" s="104"/>
      <c r="I171" s="50">
        <f t="shared" si="23"/>
        <v>0</v>
      </c>
      <c r="J171" s="104"/>
      <c r="K171" s="52">
        <f t="shared" si="22"/>
        <v>0</v>
      </c>
      <c r="L171" s="97">
        <f t="shared" si="24"/>
        <v>0</v>
      </c>
      <c r="M171" s="16">
        <f>IF(SUM(M172:M176)&gt;0,1,0)</f>
        <v>0</v>
      </c>
      <c r="N171" s="13"/>
      <c r="O171" s="16"/>
      <c r="P171" s="16"/>
      <c r="Q171" s="16"/>
      <c r="R171" s="16"/>
      <c r="S171" s="16"/>
    </row>
    <row r="172" spans="2:20" s="98" customFormat="1" ht="11.25" customHeight="1" x14ac:dyDescent="0.2">
      <c r="B172" s="103">
        <v>2.1</v>
      </c>
      <c r="C172" s="99" t="s">
        <v>71</v>
      </c>
      <c r="D172" s="100" t="s">
        <v>160</v>
      </c>
      <c r="E172" s="90" t="s">
        <v>166</v>
      </c>
      <c r="F172" s="90" t="s">
        <v>33</v>
      </c>
      <c r="G172" s="101">
        <v>730</v>
      </c>
      <c r="H172" s="7"/>
      <c r="I172" s="50">
        <f t="shared" si="23"/>
        <v>0</v>
      </c>
      <c r="J172" s="7"/>
      <c r="K172" s="52">
        <f t="shared" si="22"/>
        <v>0</v>
      </c>
      <c r="L172" s="97">
        <f t="shared" si="24"/>
        <v>0</v>
      </c>
      <c r="M172" s="16">
        <f>IF(L172&gt;0,1,0)</f>
        <v>0</v>
      </c>
      <c r="N172" s="13">
        <v>730</v>
      </c>
      <c r="O172" s="16"/>
      <c r="P172" s="16"/>
      <c r="Q172" s="16"/>
      <c r="R172" s="16"/>
      <c r="S172" s="16"/>
    </row>
    <row r="173" spans="2:20" s="98" customFormat="1" ht="11.25" customHeight="1" x14ac:dyDescent="0.2">
      <c r="B173" s="103">
        <v>2.2000000000000002</v>
      </c>
      <c r="C173" s="99" t="s">
        <v>65</v>
      </c>
      <c r="D173" s="100" t="s">
        <v>130</v>
      </c>
      <c r="E173" s="90" t="s">
        <v>166</v>
      </c>
      <c r="F173" s="90" t="s">
        <v>33</v>
      </c>
      <c r="G173" s="101">
        <v>760</v>
      </c>
      <c r="H173" s="7"/>
      <c r="I173" s="50">
        <f t="shared" si="23"/>
        <v>0</v>
      </c>
      <c r="J173" s="7"/>
      <c r="K173" s="52">
        <f t="shared" si="22"/>
        <v>0</v>
      </c>
      <c r="L173" s="97">
        <f t="shared" si="24"/>
        <v>0</v>
      </c>
      <c r="M173" s="16">
        <f>IF(L173&gt;0,1,0)</f>
        <v>0</v>
      </c>
      <c r="N173" s="16">
        <v>760</v>
      </c>
      <c r="O173" s="16"/>
      <c r="P173" s="16"/>
      <c r="Q173" s="16"/>
      <c r="R173" s="16"/>
      <c r="S173" s="16"/>
    </row>
    <row r="174" spans="2:20" s="98" customFormat="1" ht="11.25" customHeight="1" x14ac:dyDescent="0.2">
      <c r="B174" s="103">
        <v>2.2999999999999998</v>
      </c>
      <c r="C174" s="99" t="s">
        <v>189</v>
      </c>
      <c r="D174" s="146" t="s">
        <v>317</v>
      </c>
      <c r="E174" s="90" t="s">
        <v>166</v>
      </c>
      <c r="F174" s="90" t="s">
        <v>33</v>
      </c>
      <c r="G174" s="101">
        <v>2946.25</v>
      </c>
      <c r="H174" s="7"/>
      <c r="I174" s="50">
        <f t="shared" si="23"/>
        <v>0</v>
      </c>
      <c r="J174" s="7"/>
      <c r="K174" s="52">
        <f t="shared" si="22"/>
        <v>0</v>
      </c>
      <c r="L174" s="97">
        <f t="shared" si="24"/>
        <v>0</v>
      </c>
      <c r="M174" s="16">
        <f>IF(L174&gt;0,1,0)</f>
        <v>0</v>
      </c>
      <c r="N174" s="16">
        <f>2040+312.5*2.9</f>
        <v>2946.25</v>
      </c>
      <c r="O174" s="16"/>
      <c r="P174" s="16"/>
      <c r="Q174" s="16"/>
      <c r="R174" s="16"/>
      <c r="S174" s="16"/>
    </row>
    <row r="175" spans="2:20" s="98" customFormat="1" ht="11.25" customHeight="1" x14ac:dyDescent="0.2">
      <c r="B175" s="103">
        <v>2.4</v>
      </c>
      <c r="C175" s="99" t="s">
        <v>199</v>
      </c>
      <c r="D175" s="146" t="s">
        <v>379</v>
      </c>
      <c r="E175" s="90" t="s">
        <v>166</v>
      </c>
      <c r="F175" s="90" t="s">
        <v>33</v>
      </c>
      <c r="G175" s="101">
        <v>262</v>
      </c>
      <c r="H175" s="7"/>
      <c r="I175" s="50">
        <f t="shared" si="23"/>
        <v>0</v>
      </c>
      <c r="J175" s="7"/>
      <c r="K175" s="52">
        <f t="shared" si="22"/>
        <v>0</v>
      </c>
      <c r="L175" s="97">
        <f t="shared" si="24"/>
        <v>0</v>
      </c>
      <c r="M175" s="16">
        <f>IF(L175&gt;0,1,0)</f>
        <v>0</v>
      </c>
      <c r="N175" s="16">
        <v>2620</v>
      </c>
      <c r="O175" s="16"/>
      <c r="P175" s="16"/>
      <c r="Q175" s="16"/>
      <c r="R175" s="16"/>
      <c r="S175" s="16"/>
    </row>
    <row r="176" spans="2:20" s="98" customFormat="1" ht="11.25" customHeight="1" x14ac:dyDescent="0.2">
      <c r="B176" s="103">
        <v>2.5</v>
      </c>
      <c r="C176" s="99" t="s">
        <v>190</v>
      </c>
      <c r="D176" s="146" t="s">
        <v>319</v>
      </c>
      <c r="E176" s="90" t="s">
        <v>166</v>
      </c>
      <c r="F176" s="90" t="s">
        <v>33</v>
      </c>
      <c r="G176" s="101">
        <v>2693.5</v>
      </c>
      <c r="H176" s="7"/>
      <c r="I176" s="50">
        <f t="shared" si="23"/>
        <v>0</v>
      </c>
      <c r="J176" s="7"/>
      <c r="K176" s="52">
        <f t="shared" si="22"/>
        <v>0</v>
      </c>
      <c r="L176" s="97">
        <f t="shared" si="24"/>
        <v>0</v>
      </c>
      <c r="M176" s="16">
        <f>IF(L176&gt;0,1,0)</f>
        <v>0</v>
      </c>
      <c r="N176" s="16">
        <f>881+625*2.9</f>
        <v>2693.5</v>
      </c>
      <c r="O176" s="16"/>
      <c r="P176" s="16"/>
      <c r="Q176" s="16"/>
      <c r="R176" s="16"/>
      <c r="S176" s="16"/>
    </row>
    <row r="177" spans="2:19" s="98" customFormat="1" ht="11.25" customHeight="1" x14ac:dyDescent="0.2">
      <c r="B177" s="103">
        <v>2</v>
      </c>
      <c r="C177" s="99" t="s">
        <v>98</v>
      </c>
      <c r="D177" s="100" t="s">
        <v>366</v>
      </c>
      <c r="E177" s="90"/>
      <c r="F177" s="90"/>
      <c r="G177" s="101"/>
      <c r="H177" s="104"/>
      <c r="I177" s="50">
        <f t="shared" si="23"/>
        <v>0</v>
      </c>
      <c r="J177" s="104"/>
      <c r="K177" s="52">
        <f t="shared" si="22"/>
        <v>0</v>
      </c>
      <c r="L177" s="97">
        <f t="shared" si="24"/>
        <v>0</v>
      </c>
      <c r="M177" s="16">
        <f>IF(SUM(M178:M182)&gt;0,1,0)</f>
        <v>0</v>
      </c>
      <c r="N177" s="16"/>
      <c r="O177" s="16"/>
      <c r="P177" s="16"/>
      <c r="Q177" s="16"/>
      <c r="R177" s="16"/>
      <c r="S177" s="16"/>
    </row>
    <row r="178" spans="2:19" s="98" customFormat="1" ht="11.25" customHeight="1" x14ac:dyDescent="0.2">
      <c r="B178" s="103">
        <v>2.1</v>
      </c>
      <c r="C178" s="99" t="s">
        <v>71</v>
      </c>
      <c r="D178" s="146" t="s">
        <v>160</v>
      </c>
      <c r="E178" s="90" t="s">
        <v>166</v>
      </c>
      <c r="F178" s="90" t="s">
        <v>33</v>
      </c>
      <c r="G178" s="101">
        <v>793</v>
      </c>
      <c r="H178" s="7"/>
      <c r="I178" s="50">
        <f t="shared" si="23"/>
        <v>0</v>
      </c>
      <c r="J178" s="7"/>
      <c r="K178" s="52">
        <f t="shared" si="22"/>
        <v>0</v>
      </c>
      <c r="L178" s="97">
        <f t="shared" si="24"/>
        <v>0</v>
      </c>
      <c r="M178" s="16">
        <f>IF(L178&gt;0,1,0)</f>
        <v>0</v>
      </c>
      <c r="N178" s="16">
        <v>793</v>
      </c>
      <c r="O178" s="16"/>
      <c r="P178" s="16"/>
      <c r="Q178" s="16"/>
      <c r="R178" s="16"/>
      <c r="S178" s="16"/>
    </row>
    <row r="179" spans="2:19" s="98" customFormat="1" ht="11.25" customHeight="1" x14ac:dyDescent="0.2">
      <c r="B179" s="103">
        <v>2.2000000000000002</v>
      </c>
      <c r="C179" s="99" t="s">
        <v>65</v>
      </c>
      <c r="D179" s="146" t="s">
        <v>130</v>
      </c>
      <c r="E179" s="90" t="s">
        <v>166</v>
      </c>
      <c r="F179" s="90" t="s">
        <v>33</v>
      </c>
      <c r="G179" s="101">
        <v>934</v>
      </c>
      <c r="H179" s="7"/>
      <c r="I179" s="50">
        <f t="shared" si="23"/>
        <v>0</v>
      </c>
      <c r="J179" s="7"/>
      <c r="K179" s="52">
        <f t="shared" si="22"/>
        <v>0</v>
      </c>
      <c r="L179" s="97">
        <f t="shared" si="24"/>
        <v>0</v>
      </c>
      <c r="M179" s="16">
        <f>IF(L179&gt;0,1,0)</f>
        <v>0</v>
      </c>
      <c r="N179" s="13">
        <v>934</v>
      </c>
      <c r="O179" s="16"/>
      <c r="P179" s="16"/>
      <c r="Q179" s="16"/>
      <c r="R179" s="16"/>
      <c r="S179" s="16"/>
    </row>
    <row r="180" spans="2:19" s="98" customFormat="1" ht="11.25" customHeight="1" x14ac:dyDescent="0.2">
      <c r="B180" s="103">
        <v>2.2999999999999998</v>
      </c>
      <c r="C180" s="99" t="s">
        <v>189</v>
      </c>
      <c r="D180" s="146" t="s">
        <v>317</v>
      </c>
      <c r="E180" s="90" t="s">
        <v>166</v>
      </c>
      <c r="F180" s="90" t="s">
        <v>33</v>
      </c>
      <c r="G180" s="101">
        <v>3902.5</v>
      </c>
      <c r="H180" s="7"/>
      <c r="I180" s="50">
        <f t="shared" si="23"/>
        <v>0</v>
      </c>
      <c r="J180" s="7"/>
      <c r="K180" s="52">
        <f t="shared" si="22"/>
        <v>0</v>
      </c>
      <c r="L180" s="97">
        <f t="shared" si="24"/>
        <v>0</v>
      </c>
      <c r="M180" s="16">
        <f>IF(L180&gt;0,1,0)</f>
        <v>0</v>
      </c>
      <c r="N180" s="13">
        <f>2090+625*2.9</f>
        <v>3902.5</v>
      </c>
      <c r="O180" s="16"/>
      <c r="P180" s="16"/>
      <c r="Q180" s="16"/>
      <c r="R180" s="16"/>
      <c r="S180" s="16"/>
    </row>
    <row r="181" spans="2:19" s="98" customFormat="1" ht="11.25" customHeight="1" x14ac:dyDescent="0.2">
      <c r="B181" s="103">
        <v>2.4</v>
      </c>
      <c r="C181" s="99" t="s">
        <v>199</v>
      </c>
      <c r="D181" s="146" t="s">
        <v>379</v>
      </c>
      <c r="E181" s="90" t="s">
        <v>166</v>
      </c>
      <c r="F181" s="90" t="s">
        <v>33</v>
      </c>
      <c r="G181" s="101">
        <v>3200</v>
      </c>
      <c r="H181" s="7"/>
      <c r="I181" s="50">
        <f t="shared" si="23"/>
        <v>0</v>
      </c>
      <c r="J181" s="7"/>
      <c r="K181" s="52">
        <f t="shared" si="22"/>
        <v>0</v>
      </c>
      <c r="L181" s="97">
        <f t="shared" si="24"/>
        <v>0</v>
      </c>
      <c r="M181" s="16">
        <f>IF(L181&gt;0,1,0)</f>
        <v>0</v>
      </c>
      <c r="N181" s="13">
        <v>3200</v>
      </c>
      <c r="O181" s="16"/>
      <c r="P181" s="16"/>
      <c r="Q181" s="16"/>
      <c r="R181" s="16"/>
      <c r="S181" s="16"/>
    </row>
    <row r="182" spans="2:19" s="98" customFormat="1" ht="11.25" customHeight="1" x14ac:dyDescent="0.2">
      <c r="B182" s="103">
        <v>2.5</v>
      </c>
      <c r="C182" s="99" t="s">
        <v>190</v>
      </c>
      <c r="D182" s="146" t="s">
        <v>319</v>
      </c>
      <c r="E182" s="90" t="s">
        <v>166</v>
      </c>
      <c r="F182" s="90" t="s">
        <v>33</v>
      </c>
      <c r="G182" s="101">
        <v>4745</v>
      </c>
      <c r="H182" s="7"/>
      <c r="I182" s="50">
        <f t="shared" si="23"/>
        <v>0</v>
      </c>
      <c r="J182" s="7"/>
      <c r="K182" s="52">
        <f t="shared" si="22"/>
        <v>0</v>
      </c>
      <c r="L182" s="97">
        <f t="shared" si="24"/>
        <v>0</v>
      </c>
      <c r="M182" s="16">
        <f>IF(L182&gt;0,1,0)</f>
        <v>0</v>
      </c>
      <c r="N182" s="13">
        <f>1120+2.9*1250</f>
        <v>4745</v>
      </c>
      <c r="O182" s="16"/>
      <c r="P182" s="16"/>
      <c r="Q182" s="16"/>
      <c r="R182" s="16"/>
      <c r="S182" s="16"/>
    </row>
    <row r="183" spans="2:19" s="98" customFormat="1" ht="11.25" customHeight="1" x14ac:dyDescent="0.2">
      <c r="B183" s="103">
        <v>3</v>
      </c>
      <c r="C183" s="99" t="s">
        <v>95</v>
      </c>
      <c r="D183" s="146" t="s">
        <v>367</v>
      </c>
      <c r="E183" s="90"/>
      <c r="F183" s="90"/>
      <c r="G183" s="101"/>
      <c r="H183" s="104"/>
      <c r="I183" s="50">
        <f t="shared" si="23"/>
        <v>0</v>
      </c>
      <c r="J183" s="104"/>
      <c r="K183" s="52">
        <f t="shared" si="22"/>
        <v>0</v>
      </c>
      <c r="L183" s="97">
        <f t="shared" si="24"/>
        <v>0</v>
      </c>
      <c r="M183" s="16">
        <f>IF(SUM(M184:M188)&gt;0,1,0)</f>
        <v>0</v>
      </c>
      <c r="N183" s="13"/>
      <c r="O183" s="16"/>
      <c r="P183" s="16"/>
      <c r="Q183" s="16"/>
      <c r="R183" s="16"/>
      <c r="S183" s="16"/>
    </row>
    <row r="184" spans="2:19" s="98" customFormat="1" ht="11.25" customHeight="1" x14ac:dyDescent="0.2">
      <c r="B184" s="103">
        <v>3.1</v>
      </c>
      <c r="C184" s="99" t="s">
        <v>71</v>
      </c>
      <c r="D184" s="146" t="s">
        <v>160</v>
      </c>
      <c r="E184" s="90" t="s">
        <v>166</v>
      </c>
      <c r="F184" s="90" t="s">
        <v>33</v>
      </c>
      <c r="G184" s="101">
        <v>891</v>
      </c>
      <c r="H184" s="7"/>
      <c r="I184" s="50">
        <f t="shared" si="23"/>
        <v>0</v>
      </c>
      <c r="J184" s="7"/>
      <c r="K184" s="52">
        <f t="shared" si="22"/>
        <v>0</v>
      </c>
      <c r="L184" s="97">
        <f t="shared" si="24"/>
        <v>0</v>
      </c>
      <c r="M184" s="16">
        <f>IF(L184&gt;0,1,0)</f>
        <v>0</v>
      </c>
      <c r="N184" s="13">
        <v>891</v>
      </c>
      <c r="O184" s="16"/>
      <c r="P184" s="16"/>
      <c r="Q184" s="16"/>
      <c r="R184" s="16"/>
      <c r="S184" s="16"/>
    </row>
    <row r="185" spans="2:19" s="98" customFormat="1" ht="11.25" customHeight="1" x14ac:dyDescent="0.2">
      <c r="B185" s="103">
        <v>3.2</v>
      </c>
      <c r="C185" s="99" t="s">
        <v>65</v>
      </c>
      <c r="D185" s="146" t="s">
        <v>130</v>
      </c>
      <c r="E185" s="90" t="s">
        <v>166</v>
      </c>
      <c r="F185" s="90" t="s">
        <v>33</v>
      </c>
      <c r="G185" s="101">
        <v>1020</v>
      </c>
      <c r="H185" s="7"/>
      <c r="I185" s="50">
        <f t="shared" si="23"/>
        <v>0</v>
      </c>
      <c r="J185" s="7"/>
      <c r="K185" s="52">
        <f t="shared" si="22"/>
        <v>0</v>
      </c>
      <c r="L185" s="97">
        <f t="shared" si="24"/>
        <v>0</v>
      </c>
      <c r="M185" s="16">
        <f>IF(L185&gt;0,1,0)</f>
        <v>0</v>
      </c>
      <c r="N185" s="13">
        <v>1020</v>
      </c>
      <c r="O185" s="16"/>
      <c r="P185" s="16"/>
      <c r="Q185" s="16"/>
      <c r="R185" s="16"/>
      <c r="S185" s="16"/>
    </row>
    <row r="186" spans="2:19" s="98" customFormat="1" ht="11.25" customHeight="1" x14ac:dyDescent="0.2">
      <c r="B186" s="103">
        <v>3.3</v>
      </c>
      <c r="C186" s="99" t="s">
        <v>189</v>
      </c>
      <c r="D186" s="146" t="s">
        <v>317</v>
      </c>
      <c r="E186" s="90" t="s">
        <v>166</v>
      </c>
      <c r="F186" s="90" t="s">
        <v>33</v>
      </c>
      <c r="G186" s="101">
        <v>6125</v>
      </c>
      <c r="H186" s="7"/>
      <c r="I186" s="50">
        <f t="shared" si="23"/>
        <v>0</v>
      </c>
      <c r="J186" s="7"/>
      <c r="K186" s="52">
        <f t="shared" si="22"/>
        <v>0</v>
      </c>
      <c r="L186" s="97">
        <f t="shared" si="24"/>
        <v>0</v>
      </c>
      <c r="M186" s="16">
        <f>IF(L186&gt;0,1,0)</f>
        <v>0</v>
      </c>
      <c r="N186" s="13">
        <f>2500+1250*2.9</f>
        <v>6125</v>
      </c>
      <c r="O186" s="16"/>
      <c r="P186" s="16"/>
      <c r="Q186" s="16"/>
      <c r="R186" s="16"/>
      <c r="S186" s="16"/>
    </row>
    <row r="187" spans="2:19" s="98" customFormat="1" ht="11.25" customHeight="1" x14ac:dyDescent="0.2">
      <c r="B187" s="103">
        <v>3.4</v>
      </c>
      <c r="C187" s="99" t="s">
        <v>199</v>
      </c>
      <c r="D187" s="146" t="s">
        <v>379</v>
      </c>
      <c r="E187" s="90" t="s">
        <v>166</v>
      </c>
      <c r="F187" s="90" t="s">
        <v>33</v>
      </c>
      <c r="G187" s="101">
        <v>4840</v>
      </c>
      <c r="H187" s="7"/>
      <c r="I187" s="50">
        <f t="shared" si="23"/>
        <v>0</v>
      </c>
      <c r="J187" s="7"/>
      <c r="K187" s="52">
        <f t="shared" si="22"/>
        <v>0</v>
      </c>
      <c r="L187" s="97">
        <f t="shared" si="24"/>
        <v>0</v>
      </c>
      <c r="M187" s="16">
        <f>IF(L187&gt;0,1,0)</f>
        <v>0</v>
      </c>
      <c r="N187" s="13">
        <v>4840</v>
      </c>
      <c r="O187" s="16"/>
      <c r="P187" s="16"/>
      <c r="Q187" s="16"/>
      <c r="R187" s="16"/>
      <c r="S187" s="16"/>
    </row>
    <row r="188" spans="2:19" s="98" customFormat="1" ht="11.25" customHeight="1" x14ac:dyDescent="0.2">
      <c r="B188" s="103">
        <v>3.5</v>
      </c>
      <c r="C188" s="99" t="s">
        <v>190</v>
      </c>
      <c r="D188" s="146" t="s">
        <v>319</v>
      </c>
      <c r="E188" s="90" t="s">
        <v>166</v>
      </c>
      <c r="F188" s="90" t="s">
        <v>33</v>
      </c>
      <c r="G188" s="101">
        <v>8540</v>
      </c>
      <c r="H188" s="7"/>
      <c r="I188" s="50">
        <f t="shared" si="23"/>
        <v>0</v>
      </c>
      <c r="J188" s="7"/>
      <c r="K188" s="52">
        <f t="shared" si="22"/>
        <v>0</v>
      </c>
      <c r="L188" s="97">
        <f t="shared" si="24"/>
        <v>0</v>
      </c>
      <c r="M188" s="16">
        <f>IF(L188&gt;0,1,0)</f>
        <v>0</v>
      </c>
      <c r="N188" s="13">
        <f>1290+2.9*2500</f>
        <v>8540</v>
      </c>
      <c r="O188" s="16"/>
      <c r="P188" s="16"/>
      <c r="Q188" s="16"/>
      <c r="R188" s="16"/>
      <c r="S188" s="16"/>
    </row>
    <row r="189" spans="2:19" s="98" customFormat="1" ht="11.25" customHeight="1" x14ac:dyDescent="0.2">
      <c r="B189" s="103">
        <v>3</v>
      </c>
      <c r="C189" s="99" t="s">
        <v>97</v>
      </c>
      <c r="D189" s="146" t="s">
        <v>368</v>
      </c>
      <c r="E189" s="90"/>
      <c r="F189" s="90"/>
      <c r="G189" s="101"/>
      <c r="H189" s="104"/>
      <c r="I189" s="50">
        <f t="shared" si="23"/>
        <v>0</v>
      </c>
      <c r="J189" s="104"/>
      <c r="K189" s="52">
        <f t="shared" si="22"/>
        <v>0</v>
      </c>
      <c r="L189" s="97">
        <f t="shared" si="24"/>
        <v>0</v>
      </c>
      <c r="M189" s="16">
        <f>IF(SUM(M190:M194)&gt;0,1,0)</f>
        <v>0</v>
      </c>
      <c r="N189" s="13"/>
      <c r="O189" s="16"/>
      <c r="P189" s="16"/>
      <c r="Q189" s="16"/>
      <c r="R189" s="16"/>
      <c r="S189" s="16"/>
    </row>
    <row r="190" spans="2:19" s="98" customFormat="1" ht="11.25" customHeight="1" x14ac:dyDescent="0.2">
      <c r="B190" s="103">
        <v>3.1</v>
      </c>
      <c r="C190" s="99" t="s">
        <v>71</v>
      </c>
      <c r="D190" s="146" t="s">
        <v>160</v>
      </c>
      <c r="E190" s="90" t="s">
        <v>166</v>
      </c>
      <c r="F190" s="90" t="s">
        <v>33</v>
      </c>
      <c r="G190" s="101">
        <v>1060</v>
      </c>
      <c r="H190" s="7"/>
      <c r="I190" s="50">
        <f t="shared" si="23"/>
        <v>0</v>
      </c>
      <c r="J190" s="7"/>
      <c r="K190" s="52">
        <f t="shared" si="22"/>
        <v>0</v>
      </c>
      <c r="L190" s="97">
        <f t="shared" si="24"/>
        <v>0</v>
      </c>
      <c r="M190" s="16">
        <f t="shared" ref="M190:M194" si="39">IF(L190&gt;0,1,0)</f>
        <v>0</v>
      </c>
      <c r="N190" s="13">
        <v>1060</v>
      </c>
      <c r="O190" s="16"/>
      <c r="P190" s="16"/>
      <c r="Q190" s="16"/>
      <c r="R190" s="16"/>
      <c r="S190" s="16"/>
    </row>
    <row r="191" spans="2:19" s="98" customFormat="1" ht="11.25" customHeight="1" x14ac:dyDescent="0.2">
      <c r="B191" s="103">
        <v>3.2</v>
      </c>
      <c r="C191" s="99" t="s">
        <v>65</v>
      </c>
      <c r="D191" s="146" t="s">
        <v>130</v>
      </c>
      <c r="E191" s="90" t="s">
        <v>166</v>
      </c>
      <c r="F191" s="90" t="s">
        <v>33</v>
      </c>
      <c r="G191" s="101">
        <v>1210</v>
      </c>
      <c r="H191" s="7"/>
      <c r="I191" s="50">
        <f t="shared" si="23"/>
        <v>0</v>
      </c>
      <c r="J191" s="7"/>
      <c r="K191" s="52">
        <f t="shared" si="22"/>
        <v>0</v>
      </c>
      <c r="L191" s="97">
        <f t="shared" si="24"/>
        <v>0</v>
      </c>
      <c r="M191" s="16">
        <f t="shared" si="39"/>
        <v>0</v>
      </c>
      <c r="N191" s="13">
        <v>1210</v>
      </c>
      <c r="O191" s="16"/>
      <c r="P191" s="16"/>
      <c r="Q191" s="16"/>
      <c r="R191" s="16"/>
      <c r="S191" s="16"/>
    </row>
    <row r="192" spans="2:19" s="98" customFormat="1" ht="11.25" customHeight="1" x14ac:dyDescent="0.2">
      <c r="B192" s="103">
        <v>3.3</v>
      </c>
      <c r="C192" s="99" t="s">
        <v>189</v>
      </c>
      <c r="D192" s="146" t="s">
        <v>317</v>
      </c>
      <c r="E192" s="90" t="s">
        <v>166</v>
      </c>
      <c r="F192" s="90" t="s">
        <v>33</v>
      </c>
      <c r="G192" s="101">
        <v>10500</v>
      </c>
      <c r="H192" s="7"/>
      <c r="I192" s="50">
        <f t="shared" si="23"/>
        <v>0</v>
      </c>
      <c r="J192" s="7"/>
      <c r="K192" s="52">
        <f t="shared" si="22"/>
        <v>0</v>
      </c>
      <c r="L192" s="97">
        <f t="shared" si="24"/>
        <v>0</v>
      </c>
      <c r="M192" s="16">
        <f t="shared" si="39"/>
        <v>0</v>
      </c>
      <c r="N192" s="13">
        <f>3250+2.9*2500</f>
        <v>10500</v>
      </c>
      <c r="O192" s="16"/>
      <c r="P192" s="16"/>
      <c r="Q192" s="16"/>
      <c r="R192" s="16"/>
      <c r="S192" s="16"/>
    </row>
    <row r="193" spans="2:20" s="98" customFormat="1" ht="11.25" customHeight="1" x14ac:dyDescent="0.2">
      <c r="B193" s="103">
        <v>3.4</v>
      </c>
      <c r="C193" s="99" t="s">
        <v>199</v>
      </c>
      <c r="D193" s="146" t="s">
        <v>379</v>
      </c>
      <c r="E193" s="90" t="s">
        <v>166</v>
      </c>
      <c r="F193" s="90" t="s">
        <v>33</v>
      </c>
      <c r="G193" s="101">
        <v>6470</v>
      </c>
      <c r="H193" s="7"/>
      <c r="I193" s="50">
        <f t="shared" si="23"/>
        <v>0</v>
      </c>
      <c r="J193" s="7"/>
      <c r="K193" s="52">
        <f t="shared" si="22"/>
        <v>0</v>
      </c>
      <c r="L193" s="97">
        <f t="shared" si="24"/>
        <v>0</v>
      </c>
      <c r="M193" s="16">
        <f t="shared" si="39"/>
        <v>0</v>
      </c>
      <c r="N193" s="13">
        <v>6470</v>
      </c>
      <c r="O193" s="16"/>
      <c r="P193" s="16"/>
      <c r="Q193" s="16"/>
      <c r="R193" s="16"/>
      <c r="S193" s="16"/>
    </row>
    <row r="194" spans="2:20" s="98" customFormat="1" ht="11.25" customHeight="1" x14ac:dyDescent="0.2">
      <c r="B194" s="103">
        <v>3.5</v>
      </c>
      <c r="C194" s="99" t="s">
        <v>190</v>
      </c>
      <c r="D194" s="146" t="s">
        <v>319</v>
      </c>
      <c r="E194" s="90" t="s">
        <v>166</v>
      </c>
      <c r="F194" s="90" t="s">
        <v>33</v>
      </c>
      <c r="G194" s="101">
        <v>16030</v>
      </c>
      <c r="H194" s="7"/>
      <c r="I194" s="50">
        <f t="shared" si="23"/>
        <v>0</v>
      </c>
      <c r="J194" s="7"/>
      <c r="K194" s="52">
        <f t="shared" si="22"/>
        <v>0</v>
      </c>
      <c r="L194" s="97">
        <f t="shared" si="24"/>
        <v>0</v>
      </c>
      <c r="M194" s="16">
        <f t="shared" si="39"/>
        <v>0</v>
      </c>
      <c r="N194" s="13">
        <f>1530+2.9*5000</f>
        <v>16030</v>
      </c>
      <c r="O194" s="16"/>
      <c r="P194" s="16"/>
      <c r="Q194" s="16"/>
      <c r="R194" s="16"/>
      <c r="S194" s="16"/>
    </row>
    <row r="195" spans="2:20" s="98" customFormat="1" x14ac:dyDescent="0.2">
      <c r="B195" s="103">
        <v>4</v>
      </c>
      <c r="C195" s="11" t="s">
        <v>63</v>
      </c>
      <c r="D195" s="144" t="s">
        <v>124</v>
      </c>
      <c r="E195" s="143"/>
      <c r="F195" s="143"/>
      <c r="G195" s="8"/>
      <c r="H195" s="7"/>
      <c r="I195" s="50">
        <f t="shared" si="23"/>
        <v>0</v>
      </c>
      <c r="J195" s="7"/>
      <c r="K195" s="52">
        <f t="shared" si="22"/>
        <v>0</v>
      </c>
      <c r="L195" s="97">
        <f t="shared" si="24"/>
        <v>0</v>
      </c>
      <c r="M195" s="16">
        <f>IF(OR(L195&gt;0,H195+J195&gt;0),1,0)</f>
        <v>0</v>
      </c>
      <c r="N195" s="13"/>
      <c r="O195" s="16"/>
      <c r="P195" s="16"/>
      <c r="Q195" s="16"/>
      <c r="R195" s="16"/>
      <c r="S195" s="16"/>
    </row>
    <row r="196" spans="2:20" ht="11.25" customHeight="1" x14ac:dyDescent="0.2">
      <c r="B196" s="20" t="s">
        <v>269</v>
      </c>
      <c r="C196" s="89" t="s">
        <v>111</v>
      </c>
      <c r="D196" s="142" t="s">
        <v>339</v>
      </c>
      <c r="E196" s="47"/>
      <c r="F196" s="47"/>
      <c r="G196" s="48"/>
      <c r="H196" s="49"/>
      <c r="I196" s="50">
        <f t="shared" si="23"/>
        <v>0</v>
      </c>
      <c r="J196" s="49"/>
      <c r="K196" s="52">
        <f t="shared" si="22"/>
        <v>0</v>
      </c>
      <c r="L196" s="53">
        <f t="shared" si="24"/>
        <v>0</v>
      </c>
      <c r="M196" s="16">
        <f>IF(SUM(M197:M223)&gt;0,1,0)</f>
        <v>0</v>
      </c>
      <c r="O196" s="16"/>
      <c r="P196" s="16"/>
      <c r="Q196" s="16"/>
      <c r="R196" s="16"/>
      <c r="S196" s="16"/>
      <c r="T196" s="16"/>
    </row>
    <row r="197" spans="2:20" s="98" customFormat="1" ht="11.25" customHeight="1" x14ac:dyDescent="0.2">
      <c r="B197" s="103">
        <v>1</v>
      </c>
      <c r="C197" s="99" t="s">
        <v>70</v>
      </c>
      <c r="D197" s="100" t="s">
        <v>159</v>
      </c>
      <c r="E197" s="90" t="s">
        <v>342</v>
      </c>
      <c r="F197" s="90" t="s">
        <v>7</v>
      </c>
      <c r="G197" s="101">
        <v>40</v>
      </c>
      <c r="H197" s="7"/>
      <c r="I197" s="50">
        <f t="shared" si="23"/>
        <v>0</v>
      </c>
      <c r="J197" s="7"/>
      <c r="K197" s="52">
        <f t="shared" si="22"/>
        <v>0</v>
      </c>
      <c r="L197" s="97">
        <f t="shared" si="24"/>
        <v>0</v>
      </c>
      <c r="M197" s="16">
        <f>IF(L197&gt;0,1,0)</f>
        <v>0</v>
      </c>
      <c r="N197" s="13">
        <f>31+9</f>
        <v>40</v>
      </c>
      <c r="O197" s="16"/>
      <c r="P197" s="16"/>
      <c r="Q197" s="16"/>
      <c r="R197" s="16"/>
      <c r="S197" s="16"/>
    </row>
    <row r="198" spans="2:20" ht="11.25" customHeight="1" x14ac:dyDescent="0.2">
      <c r="B198" s="103">
        <v>2</v>
      </c>
      <c r="C198" s="99" t="s">
        <v>101</v>
      </c>
      <c r="D198" s="100" t="s">
        <v>378</v>
      </c>
      <c r="E198" s="90"/>
      <c r="F198" s="90"/>
      <c r="G198" s="101"/>
      <c r="H198" s="104"/>
      <c r="I198" s="50">
        <f t="shared" si="23"/>
        <v>0</v>
      </c>
      <c r="J198" s="104"/>
      <c r="K198" s="52">
        <f t="shared" si="22"/>
        <v>0</v>
      </c>
      <c r="L198" s="53">
        <f t="shared" si="24"/>
        <v>0</v>
      </c>
      <c r="M198" s="16">
        <f>IF(SUM(M199:M203)&gt;0,1,0)</f>
        <v>0</v>
      </c>
      <c r="O198" s="16"/>
      <c r="P198" s="16"/>
      <c r="Q198" s="16"/>
      <c r="R198" s="16"/>
      <c r="S198" s="16"/>
      <c r="T198" s="16"/>
    </row>
    <row r="199" spans="2:20" s="98" customFormat="1" ht="11.25" customHeight="1" x14ac:dyDescent="0.2">
      <c r="B199" s="103">
        <v>2.1</v>
      </c>
      <c r="C199" s="99" t="s">
        <v>71</v>
      </c>
      <c r="D199" s="100" t="s">
        <v>160</v>
      </c>
      <c r="E199" s="90" t="s">
        <v>342</v>
      </c>
      <c r="F199" s="90" t="s">
        <v>7</v>
      </c>
      <c r="G199" s="101">
        <v>65.599999999999994</v>
      </c>
      <c r="H199" s="7"/>
      <c r="I199" s="50">
        <f t="shared" si="23"/>
        <v>0</v>
      </c>
      <c r="J199" s="7"/>
      <c r="K199" s="52">
        <f t="shared" si="22"/>
        <v>0</v>
      </c>
      <c r="L199" s="97">
        <f t="shared" si="24"/>
        <v>0</v>
      </c>
      <c r="M199" s="16">
        <f>IF(L199&gt;0,1,0)</f>
        <v>0</v>
      </c>
      <c r="N199" s="13">
        <f>58.1+7.5</f>
        <v>65.599999999999994</v>
      </c>
      <c r="O199" s="16"/>
      <c r="P199" s="16"/>
      <c r="Q199" s="16"/>
      <c r="R199" s="16"/>
      <c r="S199" s="16"/>
    </row>
    <row r="200" spans="2:20" ht="11.25" customHeight="1" x14ac:dyDescent="0.2">
      <c r="B200" s="103">
        <v>2.2000000000000002</v>
      </c>
      <c r="C200" s="99" t="s">
        <v>65</v>
      </c>
      <c r="D200" s="146" t="s">
        <v>130</v>
      </c>
      <c r="E200" s="90" t="s">
        <v>342</v>
      </c>
      <c r="F200" s="90" t="s">
        <v>7</v>
      </c>
      <c r="G200" s="101">
        <v>52.8</v>
      </c>
      <c r="H200" s="7"/>
      <c r="I200" s="50">
        <f t="shared" si="23"/>
        <v>0</v>
      </c>
      <c r="J200" s="7"/>
      <c r="K200" s="52">
        <f t="shared" si="22"/>
        <v>0</v>
      </c>
      <c r="L200" s="53">
        <f t="shared" si="24"/>
        <v>0</v>
      </c>
      <c r="M200" s="16">
        <f>IF(L200&gt;0,1,0)</f>
        <v>0</v>
      </c>
      <c r="N200" s="13">
        <v>52.8</v>
      </c>
      <c r="O200" s="16"/>
      <c r="P200" s="16"/>
      <c r="Q200" s="16"/>
      <c r="R200" s="16"/>
      <c r="S200" s="16"/>
      <c r="T200" s="16"/>
    </row>
    <row r="201" spans="2:20" ht="11.25" customHeight="1" x14ac:dyDescent="0.2">
      <c r="B201" s="103">
        <v>2.2999999999999998</v>
      </c>
      <c r="C201" s="99" t="s">
        <v>168</v>
      </c>
      <c r="D201" s="146" t="s">
        <v>321</v>
      </c>
      <c r="E201" s="90" t="s">
        <v>342</v>
      </c>
      <c r="F201" s="90" t="s">
        <v>7</v>
      </c>
      <c r="G201" s="101">
        <v>221</v>
      </c>
      <c r="H201" s="7"/>
      <c r="I201" s="50">
        <f t="shared" si="23"/>
        <v>0</v>
      </c>
      <c r="J201" s="7"/>
      <c r="K201" s="52">
        <f t="shared" ref="K201:K226" si="40">+J201*G201</f>
        <v>0</v>
      </c>
      <c r="L201" s="53">
        <f t="shared" si="24"/>
        <v>0</v>
      </c>
      <c r="M201" s="16">
        <f>IF(L201&gt;0,1,0)</f>
        <v>0</v>
      </c>
      <c r="N201" s="13">
        <f>186+35</f>
        <v>221</v>
      </c>
      <c r="O201" s="16"/>
      <c r="P201" s="16"/>
      <c r="Q201" s="16"/>
      <c r="R201" s="16"/>
      <c r="S201" s="16"/>
      <c r="T201" s="16"/>
    </row>
    <row r="202" spans="2:20" ht="11.25" customHeight="1" x14ac:dyDescent="0.2">
      <c r="B202" s="103">
        <v>2.4</v>
      </c>
      <c r="C202" s="99" t="s">
        <v>109</v>
      </c>
      <c r="D202" s="146" t="s">
        <v>379</v>
      </c>
      <c r="E202" s="90" t="s">
        <v>342</v>
      </c>
      <c r="F202" s="90" t="s">
        <v>7</v>
      </c>
      <c r="G202" s="101">
        <v>284</v>
      </c>
      <c r="H202" s="7"/>
      <c r="I202" s="50">
        <f t="shared" si="23"/>
        <v>0</v>
      </c>
      <c r="J202" s="7"/>
      <c r="K202" s="52">
        <f t="shared" si="40"/>
        <v>0</v>
      </c>
      <c r="L202" s="53">
        <f t="shared" si="24"/>
        <v>0</v>
      </c>
      <c r="M202" s="16">
        <f>IF(L202&gt;0,1,0)</f>
        <v>0</v>
      </c>
      <c r="N202" s="13">
        <f>269+15</f>
        <v>284</v>
      </c>
      <c r="O202" s="16"/>
      <c r="P202" s="16"/>
      <c r="Q202" s="16"/>
      <c r="R202" s="16"/>
      <c r="S202" s="16"/>
      <c r="T202" s="16"/>
    </row>
    <row r="203" spans="2:20" ht="11.25" customHeight="1" x14ac:dyDescent="0.2">
      <c r="B203" s="103">
        <v>2.5</v>
      </c>
      <c r="C203" s="99" t="s">
        <v>55</v>
      </c>
      <c r="D203" s="146" t="s">
        <v>320</v>
      </c>
      <c r="E203" s="90" t="s">
        <v>342</v>
      </c>
      <c r="F203" s="90" t="s">
        <v>7</v>
      </c>
      <c r="G203" s="101">
        <v>71.8</v>
      </c>
      <c r="H203" s="7"/>
      <c r="I203" s="50">
        <f t="shared" si="23"/>
        <v>0</v>
      </c>
      <c r="J203" s="7"/>
      <c r="K203" s="52">
        <f t="shared" si="40"/>
        <v>0</v>
      </c>
      <c r="L203" s="53">
        <f t="shared" si="24"/>
        <v>0</v>
      </c>
      <c r="M203" s="16">
        <f>IF(L203&gt;0,1,0)</f>
        <v>0</v>
      </c>
      <c r="N203" s="13">
        <v>71.8</v>
      </c>
      <c r="O203" s="16"/>
      <c r="P203" s="16"/>
      <c r="Q203" s="16"/>
      <c r="R203" s="16"/>
      <c r="S203" s="16"/>
      <c r="T203" s="16"/>
    </row>
    <row r="204" spans="2:20" ht="11.25" customHeight="1" x14ac:dyDescent="0.2">
      <c r="B204" s="103">
        <v>2</v>
      </c>
      <c r="C204" s="99" t="s">
        <v>98</v>
      </c>
      <c r="D204" s="146" t="s">
        <v>366</v>
      </c>
      <c r="E204" s="90"/>
      <c r="F204" s="90"/>
      <c r="G204" s="101"/>
      <c r="H204" s="104"/>
      <c r="I204" s="50">
        <f t="shared" si="23"/>
        <v>0</v>
      </c>
      <c r="J204" s="104"/>
      <c r="K204" s="52">
        <f t="shared" si="40"/>
        <v>0</v>
      </c>
      <c r="L204" s="53">
        <f t="shared" si="24"/>
        <v>0</v>
      </c>
      <c r="M204" s="16">
        <f>IF(SUM(M205:M209)&gt;0,1,0)</f>
        <v>0</v>
      </c>
      <c r="O204" s="16"/>
      <c r="P204" s="16"/>
      <c r="Q204" s="16"/>
      <c r="R204" s="16"/>
      <c r="S204" s="16"/>
      <c r="T204" s="16"/>
    </row>
    <row r="205" spans="2:20" s="98" customFormat="1" ht="11.25" customHeight="1" x14ac:dyDescent="0.2">
      <c r="B205" s="103">
        <v>2.1</v>
      </c>
      <c r="C205" s="99" t="s">
        <v>71</v>
      </c>
      <c r="D205" s="146" t="s">
        <v>160</v>
      </c>
      <c r="E205" s="90" t="s">
        <v>342</v>
      </c>
      <c r="F205" s="90" t="s">
        <v>7</v>
      </c>
      <c r="G205" s="101">
        <v>81.5</v>
      </c>
      <c r="H205" s="7"/>
      <c r="I205" s="50">
        <f t="shared" si="23"/>
        <v>0</v>
      </c>
      <c r="J205" s="7"/>
      <c r="K205" s="52">
        <f t="shared" si="40"/>
        <v>0</v>
      </c>
      <c r="L205" s="97">
        <f t="shared" si="24"/>
        <v>0</v>
      </c>
      <c r="M205" s="16">
        <f>IF(L205&gt;0,1,0)</f>
        <v>0</v>
      </c>
      <c r="N205" s="13">
        <f>66.5+15</f>
        <v>81.5</v>
      </c>
      <c r="O205" s="16"/>
      <c r="P205" s="16"/>
      <c r="Q205" s="16"/>
      <c r="R205" s="16"/>
      <c r="S205" s="16"/>
    </row>
    <row r="206" spans="2:20" ht="11.25" customHeight="1" x14ac:dyDescent="0.2">
      <c r="B206" s="103">
        <v>2.2000000000000002</v>
      </c>
      <c r="C206" s="99" t="s">
        <v>65</v>
      </c>
      <c r="D206" s="146" t="s">
        <v>130</v>
      </c>
      <c r="E206" s="90" t="s">
        <v>342</v>
      </c>
      <c r="F206" s="90" t="s">
        <v>7</v>
      </c>
      <c r="G206" s="101">
        <v>65.5</v>
      </c>
      <c r="H206" s="7"/>
      <c r="I206" s="50">
        <f t="shared" si="23"/>
        <v>0</v>
      </c>
      <c r="J206" s="7"/>
      <c r="K206" s="52">
        <f t="shared" si="40"/>
        <v>0</v>
      </c>
      <c r="L206" s="53">
        <f t="shared" si="24"/>
        <v>0</v>
      </c>
      <c r="M206" s="16">
        <f>IF(L206&gt;0,1,0)</f>
        <v>0</v>
      </c>
      <c r="N206" s="13">
        <v>65.5</v>
      </c>
      <c r="O206" s="16"/>
      <c r="P206" s="16"/>
      <c r="Q206" s="16"/>
      <c r="R206" s="16"/>
      <c r="S206" s="16"/>
      <c r="T206" s="16"/>
    </row>
    <row r="207" spans="2:20" ht="11.25" customHeight="1" x14ac:dyDescent="0.2">
      <c r="B207" s="103">
        <v>2.2999999999999998</v>
      </c>
      <c r="C207" s="99" t="s">
        <v>168</v>
      </c>
      <c r="D207" s="146" t="s">
        <v>321</v>
      </c>
      <c r="E207" s="90" t="s">
        <v>342</v>
      </c>
      <c r="F207" s="90" t="s">
        <v>7</v>
      </c>
      <c r="G207" s="101">
        <v>281</v>
      </c>
      <c r="H207" s="7"/>
      <c r="I207" s="50">
        <f t="shared" si="23"/>
        <v>0</v>
      </c>
      <c r="J207" s="7"/>
      <c r="K207" s="52">
        <f t="shared" si="40"/>
        <v>0</v>
      </c>
      <c r="L207" s="53">
        <f t="shared" si="24"/>
        <v>0</v>
      </c>
      <c r="M207" s="16">
        <f>IF(L207&gt;0,1,0)</f>
        <v>0</v>
      </c>
      <c r="N207" s="13">
        <f>211+70</f>
        <v>281</v>
      </c>
      <c r="O207" s="16"/>
      <c r="P207" s="16"/>
      <c r="Q207" s="16"/>
      <c r="R207" s="16"/>
      <c r="S207" s="16"/>
      <c r="T207" s="16"/>
    </row>
    <row r="208" spans="2:20" ht="11.25" customHeight="1" x14ac:dyDescent="0.2">
      <c r="B208" s="103">
        <v>2.4</v>
      </c>
      <c r="C208" s="99" t="s">
        <v>109</v>
      </c>
      <c r="D208" s="146" t="s">
        <v>379</v>
      </c>
      <c r="E208" s="90" t="s">
        <v>342</v>
      </c>
      <c r="F208" s="90" t="s">
        <v>7</v>
      </c>
      <c r="G208" s="101">
        <v>371</v>
      </c>
      <c r="H208" s="7"/>
      <c r="I208" s="50">
        <f t="shared" ref="I208:I233" si="41">+H208*G208</f>
        <v>0</v>
      </c>
      <c r="J208" s="7"/>
      <c r="K208" s="52">
        <f t="shared" si="40"/>
        <v>0</v>
      </c>
      <c r="L208" s="53">
        <f t="shared" ref="L208:L226" si="42">+K208+I208</f>
        <v>0</v>
      </c>
      <c r="M208" s="16">
        <f>IF(L208&gt;0,1,0)</f>
        <v>0</v>
      </c>
      <c r="N208" s="13">
        <f>341+30</f>
        <v>371</v>
      </c>
      <c r="O208" s="16"/>
      <c r="P208" s="16"/>
      <c r="Q208" s="16"/>
      <c r="R208" s="16"/>
      <c r="S208" s="16"/>
      <c r="T208" s="16"/>
    </row>
    <row r="209" spans="2:20" ht="11.25" customHeight="1" x14ac:dyDescent="0.2">
      <c r="B209" s="103">
        <v>2.5</v>
      </c>
      <c r="C209" s="99" t="s">
        <v>55</v>
      </c>
      <c r="D209" s="146" t="s">
        <v>320</v>
      </c>
      <c r="E209" s="90" t="s">
        <v>342</v>
      </c>
      <c r="F209" s="90" t="s">
        <v>7</v>
      </c>
      <c r="G209" s="101">
        <v>101</v>
      </c>
      <c r="H209" s="7"/>
      <c r="I209" s="50">
        <f t="shared" si="41"/>
        <v>0</v>
      </c>
      <c r="J209" s="7"/>
      <c r="K209" s="52">
        <f t="shared" si="40"/>
        <v>0</v>
      </c>
      <c r="L209" s="53">
        <f t="shared" si="42"/>
        <v>0</v>
      </c>
      <c r="M209" s="16">
        <f>IF(L209&gt;0,1,0)</f>
        <v>0</v>
      </c>
      <c r="N209" s="13">
        <v>101</v>
      </c>
      <c r="O209" s="16"/>
      <c r="P209" s="16"/>
      <c r="Q209" s="16"/>
      <c r="R209" s="16"/>
      <c r="S209" s="16"/>
      <c r="T209" s="16"/>
    </row>
    <row r="210" spans="2:20" ht="11.25" customHeight="1" x14ac:dyDescent="0.2">
      <c r="B210" s="103">
        <v>3</v>
      </c>
      <c r="C210" s="99" t="s">
        <v>99</v>
      </c>
      <c r="D210" s="146" t="s">
        <v>367</v>
      </c>
      <c r="E210" s="90"/>
      <c r="F210" s="90"/>
      <c r="G210" s="101"/>
      <c r="H210" s="104"/>
      <c r="I210" s="50">
        <f t="shared" si="41"/>
        <v>0</v>
      </c>
      <c r="J210" s="104"/>
      <c r="K210" s="52">
        <f t="shared" si="40"/>
        <v>0</v>
      </c>
      <c r="L210" s="53">
        <f t="shared" si="42"/>
        <v>0</v>
      </c>
      <c r="M210" s="16">
        <f>IF(SUM(M211:M215)&gt;0,1,0)</f>
        <v>0</v>
      </c>
      <c r="O210" s="16"/>
      <c r="P210" s="16"/>
      <c r="Q210" s="16"/>
      <c r="R210" s="16"/>
      <c r="S210" s="16"/>
      <c r="T210" s="16"/>
    </row>
    <row r="211" spans="2:20" s="98" customFormat="1" ht="11.25" customHeight="1" x14ac:dyDescent="0.2">
      <c r="B211" s="103">
        <v>3.1</v>
      </c>
      <c r="C211" s="99" t="s">
        <v>71</v>
      </c>
      <c r="D211" s="146" t="s">
        <v>160</v>
      </c>
      <c r="E211" s="90" t="s">
        <v>342</v>
      </c>
      <c r="F211" s="90" t="s">
        <v>7</v>
      </c>
      <c r="G211" s="101">
        <v>112.4</v>
      </c>
      <c r="H211" s="7"/>
      <c r="I211" s="50">
        <f t="shared" si="41"/>
        <v>0</v>
      </c>
      <c r="J211" s="7"/>
      <c r="K211" s="52">
        <f t="shared" si="40"/>
        <v>0</v>
      </c>
      <c r="L211" s="97">
        <f t="shared" si="42"/>
        <v>0</v>
      </c>
      <c r="M211" s="16">
        <f>IF(L211&gt;0,1,0)</f>
        <v>0</v>
      </c>
      <c r="N211" s="13">
        <f>82.4+30</f>
        <v>112.4</v>
      </c>
      <c r="O211" s="16"/>
      <c r="P211" s="16"/>
      <c r="Q211" s="16"/>
      <c r="R211" s="16"/>
      <c r="S211" s="16"/>
    </row>
    <row r="212" spans="2:20" ht="11.25" customHeight="1" x14ac:dyDescent="0.2">
      <c r="B212" s="103">
        <v>3.2</v>
      </c>
      <c r="C212" s="99" t="s">
        <v>65</v>
      </c>
      <c r="D212" s="146" t="s">
        <v>130</v>
      </c>
      <c r="E212" s="90" t="s">
        <v>342</v>
      </c>
      <c r="F212" s="90" t="s">
        <v>7</v>
      </c>
      <c r="G212" s="101">
        <v>78.099999999999994</v>
      </c>
      <c r="H212" s="7"/>
      <c r="I212" s="50">
        <f t="shared" si="41"/>
        <v>0</v>
      </c>
      <c r="J212" s="7"/>
      <c r="K212" s="52">
        <f t="shared" si="40"/>
        <v>0</v>
      </c>
      <c r="L212" s="53">
        <f t="shared" si="42"/>
        <v>0</v>
      </c>
      <c r="M212" s="16">
        <f>IF(L212&gt;0,1,0)</f>
        <v>0</v>
      </c>
      <c r="N212" s="13">
        <v>78.099999999999994</v>
      </c>
      <c r="O212" s="16"/>
      <c r="P212" s="16"/>
      <c r="Q212" s="16"/>
      <c r="R212" s="16"/>
      <c r="S212" s="16"/>
      <c r="T212" s="16"/>
    </row>
    <row r="213" spans="2:20" ht="11.25" customHeight="1" x14ac:dyDescent="0.2">
      <c r="B213" s="103">
        <v>3.3</v>
      </c>
      <c r="C213" s="99" t="s">
        <v>168</v>
      </c>
      <c r="D213" s="146" t="s">
        <v>321</v>
      </c>
      <c r="E213" s="90" t="s">
        <v>342</v>
      </c>
      <c r="F213" s="90" t="s">
        <v>7</v>
      </c>
      <c r="G213" s="101">
        <v>452</v>
      </c>
      <c r="H213" s="7"/>
      <c r="I213" s="50">
        <f t="shared" si="41"/>
        <v>0</v>
      </c>
      <c r="J213" s="7"/>
      <c r="K213" s="52">
        <f t="shared" si="40"/>
        <v>0</v>
      </c>
      <c r="L213" s="53">
        <f t="shared" si="42"/>
        <v>0</v>
      </c>
      <c r="M213" s="16">
        <f>IF(L213&gt;0,1,0)</f>
        <v>0</v>
      </c>
      <c r="N213" s="13">
        <f>312+140</f>
        <v>452</v>
      </c>
      <c r="O213" s="16"/>
      <c r="P213" s="16"/>
      <c r="Q213" s="16"/>
      <c r="R213" s="16"/>
      <c r="S213" s="16"/>
      <c r="T213" s="16"/>
    </row>
    <row r="214" spans="2:20" ht="11.25" customHeight="1" x14ac:dyDescent="0.2">
      <c r="B214" s="103">
        <v>3.4</v>
      </c>
      <c r="C214" s="99" t="s">
        <v>109</v>
      </c>
      <c r="D214" s="146" t="s">
        <v>379</v>
      </c>
      <c r="E214" s="90" t="s">
        <v>342</v>
      </c>
      <c r="F214" s="90" t="s">
        <v>7</v>
      </c>
      <c r="G214" s="101">
        <v>532</v>
      </c>
      <c r="H214" s="7"/>
      <c r="I214" s="50">
        <f t="shared" si="41"/>
        <v>0</v>
      </c>
      <c r="J214" s="7"/>
      <c r="K214" s="52">
        <f t="shared" si="40"/>
        <v>0</v>
      </c>
      <c r="L214" s="53">
        <f t="shared" si="42"/>
        <v>0</v>
      </c>
      <c r="M214" s="16">
        <f>IF(L214&gt;0,1,0)</f>
        <v>0</v>
      </c>
      <c r="N214" s="13">
        <f>472+60</f>
        <v>532</v>
      </c>
      <c r="O214" s="16"/>
      <c r="P214" s="16"/>
      <c r="Q214" s="16"/>
      <c r="R214" s="16"/>
      <c r="S214" s="16"/>
      <c r="T214" s="16"/>
    </row>
    <row r="215" spans="2:20" ht="11.25" customHeight="1" x14ac:dyDescent="0.2">
      <c r="B215" s="103">
        <v>3.5</v>
      </c>
      <c r="C215" s="99" t="s">
        <v>55</v>
      </c>
      <c r="D215" s="146" t="s">
        <v>320</v>
      </c>
      <c r="E215" s="90" t="s">
        <v>342</v>
      </c>
      <c r="F215" s="90" t="s">
        <v>7</v>
      </c>
      <c r="G215" s="101">
        <v>121</v>
      </c>
      <c r="H215" s="7"/>
      <c r="I215" s="50">
        <f t="shared" si="41"/>
        <v>0</v>
      </c>
      <c r="J215" s="7"/>
      <c r="K215" s="52">
        <f t="shared" si="40"/>
        <v>0</v>
      </c>
      <c r="L215" s="53">
        <f t="shared" si="42"/>
        <v>0</v>
      </c>
      <c r="M215" s="16">
        <f>IF(L215&gt;0,1,0)</f>
        <v>0</v>
      </c>
      <c r="N215" s="13">
        <v>121</v>
      </c>
      <c r="O215" s="16"/>
      <c r="P215" s="16"/>
      <c r="Q215" s="16"/>
      <c r="R215" s="16"/>
      <c r="S215" s="16"/>
      <c r="T215" s="16"/>
    </row>
    <row r="216" spans="2:20" s="98" customFormat="1" ht="11.25" customHeight="1" x14ac:dyDescent="0.2">
      <c r="B216" s="103">
        <v>3</v>
      </c>
      <c r="C216" s="99" t="s">
        <v>97</v>
      </c>
      <c r="D216" s="146" t="s">
        <v>368</v>
      </c>
      <c r="E216" s="90"/>
      <c r="F216" s="90"/>
      <c r="G216" s="101"/>
      <c r="H216" s="104"/>
      <c r="I216" s="50">
        <f t="shared" si="41"/>
        <v>0</v>
      </c>
      <c r="J216" s="104"/>
      <c r="K216" s="52">
        <f t="shared" si="40"/>
        <v>0</v>
      </c>
      <c r="L216" s="97">
        <f t="shared" si="42"/>
        <v>0</v>
      </c>
      <c r="M216" s="16">
        <f>IF(SUM(M217:M221)&gt;0,1,0)</f>
        <v>0</v>
      </c>
      <c r="N216" s="13"/>
      <c r="O216" s="16"/>
      <c r="P216" s="16"/>
      <c r="Q216" s="16"/>
      <c r="R216" s="16"/>
      <c r="S216" s="16"/>
    </row>
    <row r="217" spans="2:20" s="98" customFormat="1" ht="11.25" customHeight="1" x14ac:dyDescent="0.2">
      <c r="B217" s="103">
        <v>3.1</v>
      </c>
      <c r="C217" s="99" t="s">
        <v>71</v>
      </c>
      <c r="D217" s="146" t="s">
        <v>160</v>
      </c>
      <c r="E217" s="90" t="s">
        <v>342</v>
      </c>
      <c r="F217" s="90" t="s">
        <v>7</v>
      </c>
      <c r="G217" s="101">
        <v>170</v>
      </c>
      <c r="H217" s="7"/>
      <c r="I217" s="50">
        <f t="shared" si="41"/>
        <v>0</v>
      </c>
      <c r="J217" s="7"/>
      <c r="K217" s="52">
        <f t="shared" si="40"/>
        <v>0</v>
      </c>
      <c r="L217" s="97">
        <f t="shared" si="42"/>
        <v>0</v>
      </c>
      <c r="M217" s="16">
        <f t="shared" ref="M217:M225" si="43">IF(L217&gt;0,1,0)</f>
        <v>0</v>
      </c>
      <c r="N217" s="13">
        <f>110+60</f>
        <v>170</v>
      </c>
      <c r="O217" s="16"/>
      <c r="P217" s="16"/>
      <c r="Q217" s="16"/>
      <c r="R217" s="16"/>
      <c r="S217" s="16"/>
    </row>
    <row r="218" spans="2:20" s="98" customFormat="1" ht="11.25" customHeight="1" x14ac:dyDescent="0.2">
      <c r="B218" s="103">
        <v>3.2</v>
      </c>
      <c r="C218" s="99" t="s">
        <v>65</v>
      </c>
      <c r="D218" s="146" t="s">
        <v>130</v>
      </c>
      <c r="E218" s="90" t="s">
        <v>342</v>
      </c>
      <c r="F218" s="90" t="s">
        <v>7</v>
      </c>
      <c r="G218" s="101">
        <v>130</v>
      </c>
      <c r="H218" s="7"/>
      <c r="I218" s="50">
        <f t="shared" si="41"/>
        <v>0</v>
      </c>
      <c r="J218" s="7"/>
      <c r="K218" s="52">
        <f t="shared" si="40"/>
        <v>0</v>
      </c>
      <c r="L218" s="97">
        <f t="shared" si="42"/>
        <v>0</v>
      </c>
      <c r="M218" s="16">
        <f t="shared" si="43"/>
        <v>0</v>
      </c>
      <c r="N218" s="13">
        <v>130</v>
      </c>
      <c r="O218" s="16"/>
      <c r="P218" s="16"/>
      <c r="Q218" s="16"/>
      <c r="R218" s="16"/>
      <c r="S218" s="16"/>
    </row>
    <row r="219" spans="2:20" s="98" customFormat="1" ht="11.25" customHeight="1" x14ac:dyDescent="0.2">
      <c r="B219" s="103">
        <v>3.3</v>
      </c>
      <c r="C219" s="99" t="s">
        <v>168</v>
      </c>
      <c r="D219" s="146" t="s">
        <v>321</v>
      </c>
      <c r="E219" s="90" t="s">
        <v>342</v>
      </c>
      <c r="F219" s="90" t="s">
        <v>7</v>
      </c>
      <c r="G219" s="101">
        <v>694</v>
      </c>
      <c r="H219" s="7"/>
      <c r="I219" s="50">
        <f t="shared" si="41"/>
        <v>0</v>
      </c>
      <c r="J219" s="7"/>
      <c r="K219" s="52">
        <f t="shared" si="40"/>
        <v>0</v>
      </c>
      <c r="L219" s="97">
        <f t="shared" si="42"/>
        <v>0</v>
      </c>
      <c r="M219" s="16">
        <f t="shared" si="43"/>
        <v>0</v>
      </c>
      <c r="N219" s="13">
        <f>414+280</f>
        <v>694</v>
      </c>
      <c r="O219" s="16"/>
      <c r="P219" s="16"/>
      <c r="Q219" s="16"/>
      <c r="R219" s="16"/>
      <c r="S219" s="16"/>
    </row>
    <row r="220" spans="2:20" s="98" customFormat="1" ht="11.25" customHeight="1" x14ac:dyDescent="0.2">
      <c r="B220" s="103">
        <v>3.4</v>
      </c>
      <c r="C220" s="99" t="s">
        <v>109</v>
      </c>
      <c r="D220" s="146" t="s">
        <v>379</v>
      </c>
      <c r="E220" s="90" t="s">
        <v>342</v>
      </c>
      <c r="F220" s="90" t="s">
        <v>7</v>
      </c>
      <c r="G220" s="101">
        <v>758</v>
      </c>
      <c r="H220" s="7"/>
      <c r="I220" s="50">
        <f t="shared" si="41"/>
        <v>0</v>
      </c>
      <c r="J220" s="7"/>
      <c r="K220" s="52">
        <f t="shared" si="40"/>
        <v>0</v>
      </c>
      <c r="L220" s="97">
        <f t="shared" si="42"/>
        <v>0</v>
      </c>
      <c r="M220" s="16">
        <f t="shared" si="43"/>
        <v>0</v>
      </c>
      <c r="N220" s="13">
        <f>638+120</f>
        <v>758</v>
      </c>
      <c r="O220" s="16"/>
      <c r="P220" s="16"/>
      <c r="Q220" s="16"/>
      <c r="R220" s="16"/>
      <c r="S220" s="16"/>
    </row>
    <row r="221" spans="2:20" s="98" customFormat="1" ht="11.25" customHeight="1" x14ac:dyDescent="0.2">
      <c r="B221" s="103">
        <v>3.5</v>
      </c>
      <c r="C221" s="99" t="s">
        <v>55</v>
      </c>
      <c r="D221" s="100" t="s">
        <v>320</v>
      </c>
      <c r="E221" s="90" t="s">
        <v>342</v>
      </c>
      <c r="F221" s="90" t="s">
        <v>7</v>
      </c>
      <c r="G221" s="101">
        <v>169</v>
      </c>
      <c r="H221" s="7"/>
      <c r="I221" s="50">
        <f t="shared" si="41"/>
        <v>0</v>
      </c>
      <c r="J221" s="7"/>
      <c r="K221" s="52">
        <f t="shared" si="40"/>
        <v>0</v>
      </c>
      <c r="L221" s="97">
        <f t="shared" si="42"/>
        <v>0</v>
      </c>
      <c r="M221" s="16">
        <f t="shared" si="43"/>
        <v>0</v>
      </c>
      <c r="N221" s="13">
        <v>169</v>
      </c>
      <c r="O221" s="16"/>
      <c r="P221" s="16"/>
      <c r="Q221" s="16"/>
      <c r="R221" s="16"/>
      <c r="S221" s="16"/>
    </row>
    <row r="222" spans="2:20" s="98" customFormat="1" ht="11.25" customHeight="1" x14ac:dyDescent="0.2">
      <c r="B222" s="103">
        <v>4</v>
      </c>
      <c r="C222" s="99" t="s">
        <v>69</v>
      </c>
      <c r="D222" s="100" t="s">
        <v>322</v>
      </c>
      <c r="E222" s="90" t="s">
        <v>47</v>
      </c>
      <c r="F222" s="90" t="s">
        <v>47</v>
      </c>
      <c r="G222" s="138">
        <v>3.5</v>
      </c>
      <c r="H222" s="7"/>
      <c r="I222" s="50">
        <f t="shared" si="41"/>
        <v>0</v>
      </c>
      <c r="J222" s="7"/>
      <c r="K222" s="52">
        <f t="shared" si="40"/>
        <v>0</v>
      </c>
      <c r="L222" s="97">
        <f t="shared" si="42"/>
        <v>0</v>
      </c>
      <c r="M222" s="16">
        <f t="shared" si="43"/>
        <v>0</v>
      </c>
      <c r="N222" s="13">
        <f>2.9+300/500</f>
        <v>3.5</v>
      </c>
      <c r="O222" s="16"/>
      <c r="Q222" s="16" t="s">
        <v>200</v>
      </c>
      <c r="R222" s="16"/>
      <c r="S222" s="16"/>
    </row>
    <row r="223" spans="2:20" s="98" customFormat="1" ht="11.25" customHeight="1" x14ac:dyDescent="0.2">
      <c r="B223" s="103">
        <v>5</v>
      </c>
      <c r="C223" s="11" t="s">
        <v>63</v>
      </c>
      <c r="D223" s="144" t="s">
        <v>124</v>
      </c>
      <c r="E223" s="143"/>
      <c r="F223" s="143"/>
      <c r="G223" s="8"/>
      <c r="H223" s="7"/>
      <c r="I223" s="50">
        <f t="shared" si="41"/>
        <v>0</v>
      </c>
      <c r="J223" s="7"/>
      <c r="K223" s="52">
        <f t="shared" si="40"/>
        <v>0</v>
      </c>
      <c r="L223" s="97">
        <f t="shared" si="42"/>
        <v>0</v>
      </c>
      <c r="M223" s="16">
        <f>IF(OR(L223&gt;0,H223+J223&gt;0),1,0)</f>
        <v>0</v>
      </c>
      <c r="N223" s="13"/>
      <c r="O223" s="16"/>
      <c r="P223" s="16"/>
      <c r="Q223" s="16"/>
      <c r="R223" s="16"/>
      <c r="S223" s="16"/>
    </row>
    <row r="224" spans="2:20" ht="11.25" customHeight="1" x14ac:dyDescent="0.2">
      <c r="B224" s="20" t="s">
        <v>270</v>
      </c>
      <c r="C224" s="86" t="s">
        <v>29</v>
      </c>
      <c r="D224" s="141" t="s">
        <v>161</v>
      </c>
      <c r="E224" s="47" t="s">
        <v>31</v>
      </c>
      <c r="F224" s="47" t="s">
        <v>31</v>
      </c>
      <c r="G224" s="110">
        <v>1</v>
      </c>
      <c r="H224" s="2"/>
      <c r="I224" s="50">
        <f t="shared" si="41"/>
        <v>0</v>
      </c>
      <c r="J224" s="2"/>
      <c r="K224" s="52">
        <f t="shared" si="40"/>
        <v>0</v>
      </c>
      <c r="L224" s="53">
        <f t="shared" si="42"/>
        <v>0</v>
      </c>
      <c r="M224" s="16">
        <f t="shared" si="43"/>
        <v>0</v>
      </c>
      <c r="O224" s="16"/>
      <c r="P224" s="16"/>
      <c r="Q224" s="16"/>
      <c r="R224" s="16"/>
      <c r="S224" s="16"/>
      <c r="T224" s="16"/>
    </row>
    <row r="225" spans="2:20" ht="11.25" customHeight="1" x14ac:dyDescent="0.2">
      <c r="B225" s="20" t="s">
        <v>271</v>
      </c>
      <c r="C225" s="86" t="s">
        <v>30</v>
      </c>
      <c r="D225" s="141" t="s">
        <v>162</v>
      </c>
      <c r="E225" s="47" t="s">
        <v>31</v>
      </c>
      <c r="F225" s="47" t="s">
        <v>31</v>
      </c>
      <c r="G225" s="110">
        <v>1</v>
      </c>
      <c r="H225" s="2"/>
      <c r="I225" s="50">
        <f t="shared" si="41"/>
        <v>0</v>
      </c>
      <c r="J225" s="2"/>
      <c r="K225" s="52">
        <f t="shared" si="40"/>
        <v>0</v>
      </c>
      <c r="L225" s="53">
        <f t="shared" si="42"/>
        <v>0</v>
      </c>
      <c r="M225" s="16">
        <f t="shared" si="43"/>
        <v>0</v>
      </c>
      <c r="O225" s="16"/>
      <c r="P225" s="16"/>
      <c r="Q225" s="16"/>
      <c r="R225" s="16"/>
      <c r="S225" s="16"/>
      <c r="T225" s="16"/>
    </row>
    <row r="226" spans="2:20" s="98" customFormat="1" ht="11.25" customHeight="1" x14ac:dyDescent="0.2">
      <c r="B226" s="20">
        <v>2.7</v>
      </c>
      <c r="C226" s="140" t="s">
        <v>273</v>
      </c>
      <c r="D226" s="87" t="s">
        <v>290</v>
      </c>
      <c r="E226" s="47"/>
      <c r="F226" s="47"/>
      <c r="G226" s="48"/>
      <c r="H226" s="49"/>
      <c r="I226" s="50">
        <f t="shared" si="41"/>
        <v>0</v>
      </c>
      <c r="J226" s="49"/>
      <c r="K226" s="52">
        <f t="shared" si="40"/>
        <v>0</v>
      </c>
      <c r="L226" s="53">
        <f t="shared" si="42"/>
        <v>0</v>
      </c>
      <c r="M226" s="16">
        <f>IF(SUM(M227:M233)&gt;0,1,0)</f>
        <v>0</v>
      </c>
      <c r="N226" s="13"/>
      <c r="O226" s="16"/>
      <c r="P226" s="16"/>
      <c r="Q226" s="16"/>
      <c r="R226" s="16"/>
      <c r="S226" s="16"/>
      <c r="T226" s="16"/>
    </row>
    <row r="227" spans="2:20" s="98" customFormat="1" ht="11.25" customHeight="1" x14ac:dyDescent="0.2">
      <c r="B227" s="20" t="s">
        <v>274</v>
      </c>
      <c r="C227" s="11" t="s">
        <v>63</v>
      </c>
      <c r="D227" s="144"/>
      <c r="E227" s="143"/>
      <c r="F227" s="143"/>
      <c r="G227" s="8"/>
      <c r="H227" s="7"/>
      <c r="I227" s="50">
        <f t="shared" ref="I227:I232" si="44">+H227*G227</f>
        <v>0</v>
      </c>
      <c r="J227" s="7"/>
      <c r="K227" s="52">
        <f t="shared" ref="K227:K232" si="45">+J227*G227</f>
        <v>0</v>
      </c>
      <c r="L227" s="97">
        <f t="shared" ref="L227:L232" si="46">+K227+I227</f>
        <v>0</v>
      </c>
      <c r="M227" s="16">
        <f t="shared" ref="M227:M232" si="47">IF(OR(L227&gt;0,H227+J227&gt;0),1,0)</f>
        <v>0</v>
      </c>
      <c r="N227" s="13"/>
      <c r="O227" s="16"/>
      <c r="P227" s="16"/>
      <c r="Q227" s="16"/>
      <c r="R227" s="16"/>
      <c r="S227" s="16"/>
    </row>
    <row r="228" spans="2:20" s="98" customFormat="1" ht="11.25" customHeight="1" x14ac:dyDescent="0.2">
      <c r="B228" s="20" t="s">
        <v>275</v>
      </c>
      <c r="C228" s="11" t="s">
        <v>63</v>
      </c>
      <c r="D228" s="144"/>
      <c r="E228" s="143"/>
      <c r="F228" s="143"/>
      <c r="G228" s="8"/>
      <c r="H228" s="7"/>
      <c r="I228" s="50">
        <f t="shared" si="44"/>
        <v>0</v>
      </c>
      <c r="J228" s="7"/>
      <c r="K228" s="52">
        <f t="shared" si="45"/>
        <v>0</v>
      </c>
      <c r="L228" s="97">
        <f t="shared" si="46"/>
        <v>0</v>
      </c>
      <c r="M228" s="16">
        <f t="shared" si="47"/>
        <v>0</v>
      </c>
      <c r="N228" s="13"/>
      <c r="O228" s="16"/>
      <c r="P228" s="16"/>
      <c r="Q228" s="16"/>
      <c r="R228" s="16"/>
      <c r="S228" s="16"/>
    </row>
    <row r="229" spans="2:20" s="98" customFormat="1" ht="11.25" customHeight="1" x14ac:dyDescent="0.2">
      <c r="B229" s="20" t="s">
        <v>276</v>
      </c>
      <c r="C229" s="11" t="s">
        <v>63</v>
      </c>
      <c r="D229" s="144"/>
      <c r="E229" s="143"/>
      <c r="F229" s="143"/>
      <c r="G229" s="8"/>
      <c r="H229" s="7"/>
      <c r="I229" s="50">
        <f t="shared" si="44"/>
        <v>0</v>
      </c>
      <c r="J229" s="7"/>
      <c r="K229" s="52">
        <f t="shared" si="45"/>
        <v>0</v>
      </c>
      <c r="L229" s="97">
        <f t="shared" si="46"/>
        <v>0</v>
      </c>
      <c r="M229" s="16">
        <f t="shared" si="47"/>
        <v>0</v>
      </c>
      <c r="N229" s="13"/>
      <c r="O229" s="16"/>
      <c r="P229" s="16"/>
      <c r="Q229" s="16"/>
      <c r="R229" s="16"/>
      <c r="S229" s="16"/>
    </row>
    <row r="230" spans="2:20" s="98" customFormat="1" ht="11.25" customHeight="1" x14ac:dyDescent="0.2">
      <c r="B230" s="20" t="s">
        <v>277</v>
      </c>
      <c r="C230" s="11" t="s">
        <v>63</v>
      </c>
      <c r="D230" s="144"/>
      <c r="E230" s="143"/>
      <c r="F230" s="143"/>
      <c r="G230" s="8"/>
      <c r="H230" s="7"/>
      <c r="I230" s="50">
        <f t="shared" si="44"/>
        <v>0</v>
      </c>
      <c r="J230" s="7"/>
      <c r="K230" s="52">
        <f t="shared" si="45"/>
        <v>0</v>
      </c>
      <c r="L230" s="97">
        <f t="shared" si="46"/>
        <v>0</v>
      </c>
      <c r="M230" s="16">
        <f t="shared" si="47"/>
        <v>0</v>
      </c>
      <c r="N230" s="13"/>
      <c r="O230" s="16"/>
      <c r="P230" s="16"/>
      <c r="Q230" s="16"/>
      <c r="R230" s="16"/>
      <c r="S230" s="16"/>
    </row>
    <row r="231" spans="2:20" s="98" customFormat="1" ht="11.25" customHeight="1" x14ac:dyDescent="0.2">
      <c r="B231" s="20" t="s">
        <v>278</v>
      </c>
      <c r="C231" s="11" t="s">
        <v>63</v>
      </c>
      <c r="D231" s="144"/>
      <c r="E231" s="143"/>
      <c r="F231" s="143"/>
      <c r="G231" s="8"/>
      <c r="H231" s="7"/>
      <c r="I231" s="50">
        <f t="shared" si="44"/>
        <v>0</v>
      </c>
      <c r="J231" s="7"/>
      <c r="K231" s="52">
        <f t="shared" si="45"/>
        <v>0</v>
      </c>
      <c r="L231" s="97">
        <f t="shared" si="46"/>
        <v>0</v>
      </c>
      <c r="M231" s="16">
        <f t="shared" si="47"/>
        <v>0</v>
      </c>
      <c r="N231" s="13"/>
      <c r="O231" s="16"/>
      <c r="P231" s="16"/>
      <c r="Q231" s="16"/>
      <c r="R231" s="16"/>
      <c r="S231" s="16"/>
    </row>
    <row r="232" spans="2:20" s="98" customFormat="1" ht="11.25" customHeight="1" x14ac:dyDescent="0.2">
      <c r="B232" s="20" t="s">
        <v>279</v>
      </c>
      <c r="C232" s="11" t="s">
        <v>63</v>
      </c>
      <c r="D232" s="144"/>
      <c r="E232" s="143"/>
      <c r="F232" s="143"/>
      <c r="G232" s="8"/>
      <c r="H232" s="7"/>
      <c r="I232" s="50">
        <f t="shared" si="44"/>
        <v>0</v>
      </c>
      <c r="J232" s="7"/>
      <c r="K232" s="52">
        <f t="shared" si="45"/>
        <v>0</v>
      </c>
      <c r="L232" s="97">
        <f t="shared" si="46"/>
        <v>0</v>
      </c>
      <c r="M232" s="16">
        <f t="shared" si="47"/>
        <v>0</v>
      </c>
      <c r="N232" s="45"/>
      <c r="O232" s="16"/>
      <c r="P232" s="16"/>
      <c r="Q232" s="16"/>
      <c r="R232" s="16"/>
      <c r="S232" s="16"/>
    </row>
    <row r="233" spans="2:20" s="64" customFormat="1" ht="11.25" customHeight="1" thickBot="1" x14ac:dyDescent="0.25">
      <c r="B233" s="54"/>
      <c r="C233" s="55"/>
      <c r="D233" s="56"/>
      <c r="E233" s="57"/>
      <c r="F233" s="57"/>
      <c r="G233" s="58"/>
      <c r="H233" s="59"/>
      <c r="I233" s="50">
        <f t="shared" si="41"/>
        <v>0</v>
      </c>
      <c r="J233" s="61"/>
      <c r="K233" s="62">
        <f t="shared" ref="K233" si="48">+J233*G233</f>
        <v>0</v>
      </c>
      <c r="L233" s="63">
        <f>+K233+I233</f>
        <v>0</v>
      </c>
      <c r="M233" s="16">
        <f t="shared" ref="M233:M238" si="49">IF(L233&gt;0,1,0)</f>
        <v>0</v>
      </c>
      <c r="N233" s="45"/>
    </row>
    <row r="234" spans="2:20" ht="11.25" customHeight="1" thickTop="1" thickBot="1" x14ac:dyDescent="0.25">
      <c r="B234" s="65">
        <v>604</v>
      </c>
      <c r="C234" s="66" t="s">
        <v>90</v>
      </c>
      <c r="D234" s="67" t="s">
        <v>163</v>
      </c>
      <c r="E234" s="68"/>
      <c r="F234" s="68"/>
      <c r="G234" s="69"/>
      <c r="H234" s="70"/>
      <c r="I234" s="71">
        <f>SUM(I21:I205)</f>
        <v>13481.779999999999</v>
      </c>
      <c r="J234" s="72"/>
      <c r="K234" s="73">
        <f>SUM(K21:K205)</f>
        <v>0</v>
      </c>
      <c r="L234" s="74">
        <f>SUM(L21:L233)</f>
        <v>13481.779999999999</v>
      </c>
      <c r="M234" s="16">
        <f t="shared" si="49"/>
        <v>1</v>
      </c>
      <c r="N234" s="45"/>
      <c r="O234" s="16"/>
      <c r="P234" s="16"/>
      <c r="Q234" s="16"/>
      <c r="R234" s="16"/>
      <c r="S234" s="16"/>
      <c r="T234" s="16"/>
    </row>
    <row r="235" spans="2:20" ht="11.25" customHeight="1" thickBot="1" x14ac:dyDescent="0.25">
      <c r="B235" s="20"/>
      <c r="C235" s="45"/>
      <c r="D235" s="46"/>
      <c r="E235" s="47"/>
      <c r="F235" s="47"/>
      <c r="G235" s="48"/>
      <c r="H235" s="49"/>
      <c r="I235" s="50">
        <f>+H235*G235</f>
        <v>0</v>
      </c>
      <c r="J235" s="51"/>
      <c r="K235" s="52"/>
      <c r="L235" s="53"/>
      <c r="M235" s="16">
        <f t="shared" si="49"/>
        <v>0</v>
      </c>
      <c r="N235" s="45"/>
      <c r="O235" s="16"/>
      <c r="P235" s="16"/>
      <c r="Q235" s="16"/>
      <c r="R235" s="16"/>
      <c r="S235" s="16"/>
      <c r="T235" s="16"/>
    </row>
    <row r="236" spans="2:20" ht="11.25" customHeight="1" thickTop="1" thickBot="1" x14ac:dyDescent="0.25">
      <c r="B236" s="65"/>
      <c r="C236" s="111" t="s">
        <v>89</v>
      </c>
      <c r="D236" s="112" t="s">
        <v>164</v>
      </c>
      <c r="E236" s="68"/>
      <c r="F236" s="68"/>
      <c r="G236" s="113"/>
      <c r="H236" s="114"/>
      <c r="I236" s="115">
        <f>+I20+I234</f>
        <v>25481.78</v>
      </c>
      <c r="J236" s="116"/>
      <c r="K236" s="117">
        <f>+K20+K234</f>
        <v>0</v>
      </c>
      <c r="L236" s="118">
        <f>+L20+L234</f>
        <v>25481.78</v>
      </c>
      <c r="M236" s="16">
        <f t="shared" si="49"/>
        <v>1</v>
      </c>
      <c r="N236" s="45"/>
      <c r="O236" s="16"/>
      <c r="P236" s="16"/>
      <c r="Q236" s="16"/>
      <c r="R236" s="16"/>
      <c r="S236" s="16"/>
      <c r="T236" s="16"/>
    </row>
    <row r="237" spans="2:20" ht="10.8" thickBot="1" x14ac:dyDescent="0.25">
      <c r="B237" s="119"/>
      <c r="C237" s="120" t="s">
        <v>293</v>
      </c>
      <c r="D237" s="150" t="s">
        <v>340</v>
      </c>
      <c r="E237" s="121"/>
      <c r="F237" s="122"/>
      <c r="G237" s="123"/>
      <c r="H237" s="123"/>
      <c r="I237" s="123"/>
      <c r="J237" s="124"/>
      <c r="K237" s="124"/>
      <c r="L237" s="125">
        <f>L236*(1+P3)</f>
        <v>29304.046999999995</v>
      </c>
      <c r="M237" s="16">
        <f t="shared" si="49"/>
        <v>1</v>
      </c>
      <c r="O237" s="16"/>
      <c r="P237" s="16"/>
      <c r="Q237" s="16"/>
      <c r="R237" s="16"/>
      <c r="S237" s="16"/>
      <c r="T237" s="16"/>
    </row>
    <row r="238" spans="2:20" ht="10.8" thickBot="1" x14ac:dyDescent="0.25">
      <c r="B238" s="119"/>
      <c r="C238" s="120" t="s">
        <v>167</v>
      </c>
      <c r="D238" s="150" t="s">
        <v>341</v>
      </c>
      <c r="E238" s="121"/>
      <c r="F238" s="122"/>
      <c r="G238" s="123"/>
      <c r="H238" s="123"/>
      <c r="I238" s="123"/>
      <c r="J238" s="124"/>
      <c r="K238" s="124"/>
      <c r="L238" s="125">
        <f>L237*1.21</f>
        <v>35457.89686999999</v>
      </c>
      <c r="M238" s="16">
        <f t="shared" si="49"/>
        <v>1</v>
      </c>
      <c r="O238" s="16"/>
      <c r="P238" s="16"/>
      <c r="Q238" s="16"/>
      <c r="R238" s="16"/>
      <c r="S238" s="16"/>
      <c r="T238" s="16"/>
    </row>
    <row r="239" spans="2:20" x14ac:dyDescent="0.2">
      <c r="E239" s="127"/>
      <c r="F239" s="128"/>
      <c r="G239" s="128"/>
    </row>
    <row r="240" spans="2:20" ht="20.399999999999999" x14ac:dyDescent="0.2">
      <c r="C240" s="11" t="s">
        <v>380</v>
      </c>
      <c r="E240" s="127"/>
      <c r="F240" s="128"/>
      <c r="G240" s="128"/>
    </row>
    <row r="241" spans="5:7" x14ac:dyDescent="0.2">
      <c r="E241" s="127"/>
      <c r="F241" s="128"/>
      <c r="G241" s="128"/>
    </row>
    <row r="242" spans="5:7" hidden="1" x14ac:dyDescent="0.2">
      <c r="E242" s="127"/>
      <c r="F242" s="128"/>
      <c r="G242" s="128"/>
    </row>
    <row r="243" spans="5:7" hidden="1" x14ac:dyDescent="0.2">
      <c r="E243" s="127"/>
      <c r="F243" s="128"/>
      <c r="G243" s="128"/>
    </row>
    <row r="244" spans="5:7" hidden="1" x14ac:dyDescent="0.2">
      <c r="E244" s="127"/>
      <c r="F244" s="128"/>
      <c r="G244" s="128"/>
    </row>
    <row r="245" spans="5:7" hidden="1" x14ac:dyDescent="0.2">
      <c r="E245" s="127"/>
      <c r="F245" s="128"/>
      <c r="G245" s="128"/>
    </row>
    <row r="246" spans="5:7" hidden="1" x14ac:dyDescent="0.2">
      <c r="E246" s="127"/>
      <c r="F246" s="128"/>
      <c r="G246" s="128"/>
    </row>
    <row r="247" spans="5:7" hidden="1" x14ac:dyDescent="0.2">
      <c r="E247" s="127"/>
      <c r="F247" s="128"/>
      <c r="G247" s="128"/>
    </row>
    <row r="248" spans="5:7" hidden="1" x14ac:dyDescent="0.2">
      <c r="E248" s="127"/>
      <c r="F248" s="128"/>
      <c r="G248" s="128"/>
    </row>
    <row r="249" spans="5:7" hidden="1" x14ac:dyDescent="0.2">
      <c r="E249" s="127"/>
      <c r="F249" s="128"/>
      <c r="G249" s="128"/>
    </row>
    <row r="250" spans="5:7" hidden="1" x14ac:dyDescent="0.2">
      <c r="E250" s="127"/>
      <c r="F250" s="128"/>
      <c r="G250" s="128"/>
    </row>
    <row r="251" spans="5:7" hidden="1" x14ac:dyDescent="0.2">
      <c r="E251" s="127"/>
      <c r="F251" s="128"/>
      <c r="G251" s="128"/>
    </row>
    <row r="252" spans="5:7" hidden="1" x14ac:dyDescent="0.2">
      <c r="E252" s="127"/>
      <c r="F252" s="128"/>
      <c r="G252" s="128"/>
    </row>
    <row r="253" spans="5:7" hidden="1" x14ac:dyDescent="0.2">
      <c r="E253" s="127"/>
      <c r="F253" s="128"/>
      <c r="G253" s="128"/>
    </row>
    <row r="254" spans="5:7" hidden="1" x14ac:dyDescent="0.2">
      <c r="E254" s="127"/>
      <c r="F254" s="128"/>
      <c r="G254" s="128"/>
    </row>
    <row r="255" spans="5:7" hidden="1" x14ac:dyDescent="0.2">
      <c r="E255" s="127"/>
      <c r="F255" s="128"/>
      <c r="G255" s="128"/>
    </row>
    <row r="256" spans="5:7" hidden="1" x14ac:dyDescent="0.2">
      <c r="E256" s="127"/>
      <c r="F256" s="128"/>
      <c r="G256" s="128"/>
    </row>
    <row r="257" spans="5:7" hidden="1" x14ac:dyDescent="0.2">
      <c r="E257" s="127"/>
      <c r="F257" s="128"/>
      <c r="G257" s="128"/>
    </row>
    <row r="258" spans="5:7" hidden="1" x14ac:dyDescent="0.2">
      <c r="E258" s="127"/>
      <c r="F258" s="128"/>
      <c r="G258" s="128"/>
    </row>
    <row r="259" spans="5:7" hidden="1" x14ac:dyDescent="0.2">
      <c r="E259" s="127"/>
      <c r="F259" s="128"/>
      <c r="G259" s="128"/>
    </row>
    <row r="260" spans="5:7" hidden="1" x14ac:dyDescent="0.2">
      <c r="E260" s="127"/>
      <c r="F260" s="128"/>
      <c r="G260" s="128"/>
    </row>
    <row r="261" spans="5:7" hidden="1" x14ac:dyDescent="0.2">
      <c r="E261" s="127"/>
      <c r="F261" s="128"/>
      <c r="G261" s="128"/>
    </row>
    <row r="262" spans="5:7" hidden="1" x14ac:dyDescent="0.2">
      <c r="E262" s="127"/>
      <c r="F262" s="128"/>
      <c r="G262" s="128"/>
    </row>
    <row r="263" spans="5:7" hidden="1" x14ac:dyDescent="0.2">
      <c r="E263" s="127"/>
      <c r="F263" s="128"/>
      <c r="G263" s="128"/>
    </row>
    <row r="264" spans="5:7" hidden="1" x14ac:dyDescent="0.2">
      <c r="E264" s="127"/>
    </row>
    <row r="265" spans="5:7" hidden="1" x14ac:dyDescent="0.2">
      <c r="E265" s="127"/>
    </row>
    <row r="266" spans="5:7" hidden="1" x14ac:dyDescent="0.2">
      <c r="E266" s="127"/>
    </row>
    <row r="267" spans="5:7" hidden="1" x14ac:dyDescent="0.2">
      <c r="E267" s="127"/>
    </row>
    <row r="268" spans="5:7" hidden="1" x14ac:dyDescent="0.2">
      <c r="E268" s="127"/>
    </row>
    <row r="269" spans="5:7" hidden="1" x14ac:dyDescent="0.2">
      <c r="E269" s="127"/>
    </row>
    <row r="270" spans="5:7" hidden="1" x14ac:dyDescent="0.2">
      <c r="E270" s="127"/>
    </row>
    <row r="271" spans="5:7" hidden="1" x14ac:dyDescent="0.2">
      <c r="E271" s="127"/>
    </row>
    <row r="272" spans="5:7" hidden="1" x14ac:dyDescent="0.2">
      <c r="E272" s="127"/>
    </row>
    <row r="273" spans="5:5" hidden="1" x14ac:dyDescent="0.2">
      <c r="E273" s="127"/>
    </row>
    <row r="274" spans="5:5" hidden="1" x14ac:dyDescent="0.2">
      <c r="E274" s="127"/>
    </row>
    <row r="275" spans="5:5" hidden="1" x14ac:dyDescent="0.2">
      <c r="E275" s="127"/>
    </row>
    <row r="276" spans="5:5" hidden="1" x14ac:dyDescent="0.2">
      <c r="E276" s="127"/>
    </row>
    <row r="277" spans="5:5" hidden="1" x14ac:dyDescent="0.2">
      <c r="E277" s="127"/>
    </row>
    <row r="278" spans="5:5" hidden="1" x14ac:dyDescent="0.2">
      <c r="E278" s="127"/>
    </row>
    <row r="279" spans="5:5" hidden="1" x14ac:dyDescent="0.2">
      <c r="E279" s="127"/>
    </row>
    <row r="280" spans="5:5" hidden="1" x14ac:dyDescent="0.2">
      <c r="E280" s="127"/>
    </row>
    <row r="281" spans="5:5" hidden="1" x14ac:dyDescent="0.2">
      <c r="E281" s="127"/>
    </row>
    <row r="282" spans="5:5" hidden="1" x14ac:dyDescent="0.2">
      <c r="E282" s="127"/>
    </row>
    <row r="283" spans="5:5" hidden="1" x14ac:dyDescent="0.2">
      <c r="E283" s="127"/>
    </row>
    <row r="284" spans="5:5" hidden="1" x14ac:dyDescent="0.2">
      <c r="E284" s="127"/>
    </row>
    <row r="285" spans="5:5" hidden="1" x14ac:dyDescent="0.2">
      <c r="E285" s="127"/>
    </row>
    <row r="286" spans="5:5" hidden="1" x14ac:dyDescent="0.2">
      <c r="E286" s="127"/>
    </row>
    <row r="287" spans="5:5" hidden="1" x14ac:dyDescent="0.2">
      <c r="E287" s="127"/>
    </row>
    <row r="288" spans="5:5" hidden="1" x14ac:dyDescent="0.2">
      <c r="E288" s="127"/>
    </row>
    <row r="289" spans="5:5" hidden="1" x14ac:dyDescent="0.2">
      <c r="E289" s="127"/>
    </row>
    <row r="290" spans="5:5" hidden="1" x14ac:dyDescent="0.2">
      <c r="E290" s="127"/>
    </row>
    <row r="291" spans="5:5" hidden="1" x14ac:dyDescent="0.2">
      <c r="E291" s="127"/>
    </row>
    <row r="292" spans="5:5" hidden="1" x14ac:dyDescent="0.2">
      <c r="E292" s="127"/>
    </row>
    <row r="293" spans="5:5" hidden="1" x14ac:dyDescent="0.2">
      <c r="E293" s="127"/>
    </row>
    <row r="294" spans="5:5" hidden="1" x14ac:dyDescent="0.2">
      <c r="E294" s="127"/>
    </row>
    <row r="295" spans="5:5" hidden="1" x14ac:dyDescent="0.2">
      <c r="E295" s="127"/>
    </row>
    <row r="296" spans="5:5" hidden="1" x14ac:dyDescent="0.2">
      <c r="E296" s="127"/>
    </row>
    <row r="297" spans="5:5" hidden="1" x14ac:dyDescent="0.2">
      <c r="E297" s="127"/>
    </row>
    <row r="298" spans="5:5" hidden="1" x14ac:dyDescent="0.2">
      <c r="E298" s="127"/>
    </row>
    <row r="299" spans="5:5" hidden="1" x14ac:dyDescent="0.2">
      <c r="E299" s="127"/>
    </row>
    <row r="300" spans="5:5" hidden="1" x14ac:dyDescent="0.2">
      <c r="E300" s="127"/>
    </row>
    <row r="301" spans="5:5" hidden="1" x14ac:dyDescent="0.2">
      <c r="E301" s="127"/>
    </row>
    <row r="302" spans="5:5" hidden="1" x14ac:dyDescent="0.2">
      <c r="E302" s="127"/>
    </row>
    <row r="303" spans="5:5" hidden="1" x14ac:dyDescent="0.2">
      <c r="E303" s="127"/>
    </row>
    <row r="304" spans="5:5" hidden="1" x14ac:dyDescent="0.2">
      <c r="E304" s="127"/>
    </row>
    <row r="305" spans="5:5" hidden="1" x14ac:dyDescent="0.2">
      <c r="E305" s="127"/>
    </row>
    <row r="306" spans="5:5" hidden="1" x14ac:dyDescent="0.2">
      <c r="E306" s="127"/>
    </row>
    <row r="307" spans="5:5" hidden="1" x14ac:dyDescent="0.2">
      <c r="E307" s="127"/>
    </row>
    <row r="308" spans="5:5" hidden="1" x14ac:dyDescent="0.2">
      <c r="E308" s="127"/>
    </row>
    <row r="309" spans="5:5" hidden="1" x14ac:dyDescent="0.2">
      <c r="E309" s="127"/>
    </row>
    <row r="310" spans="5:5" hidden="1" x14ac:dyDescent="0.2">
      <c r="E310" s="127"/>
    </row>
    <row r="311" spans="5:5" hidden="1" x14ac:dyDescent="0.2">
      <c r="E311" s="127"/>
    </row>
    <row r="312" spans="5:5" hidden="1" x14ac:dyDescent="0.2">
      <c r="E312" s="127"/>
    </row>
    <row r="313" spans="5:5" hidden="1" x14ac:dyDescent="0.2">
      <c r="E313" s="127"/>
    </row>
    <row r="314" spans="5:5" hidden="1" x14ac:dyDescent="0.2">
      <c r="E314" s="127"/>
    </row>
    <row r="315" spans="5:5" hidden="1" x14ac:dyDescent="0.2">
      <c r="E315" s="127"/>
    </row>
    <row r="316" spans="5:5" hidden="1" x14ac:dyDescent="0.2">
      <c r="E316" s="127"/>
    </row>
    <row r="317" spans="5:5" hidden="1" x14ac:dyDescent="0.2">
      <c r="E317" s="127"/>
    </row>
    <row r="318" spans="5:5" hidden="1" x14ac:dyDescent="0.2">
      <c r="E318" s="127"/>
    </row>
    <row r="319" spans="5:5" hidden="1" x14ac:dyDescent="0.2">
      <c r="E319" s="127"/>
    </row>
    <row r="320" spans="5:5" hidden="1" x14ac:dyDescent="0.2">
      <c r="E320" s="127"/>
    </row>
    <row r="321" spans="5:5" hidden="1" x14ac:dyDescent="0.2">
      <c r="E321" s="127"/>
    </row>
    <row r="322" spans="5:5" hidden="1" x14ac:dyDescent="0.2">
      <c r="E322" s="127"/>
    </row>
    <row r="323" spans="5:5" hidden="1" x14ac:dyDescent="0.2">
      <c r="E323" s="127"/>
    </row>
    <row r="324" spans="5:5" hidden="1" x14ac:dyDescent="0.2">
      <c r="E324" s="127"/>
    </row>
    <row r="325" spans="5:5" hidden="1" x14ac:dyDescent="0.2">
      <c r="E325" s="127"/>
    </row>
    <row r="326" spans="5:5" hidden="1" x14ac:dyDescent="0.2">
      <c r="E326" s="127"/>
    </row>
    <row r="327" spans="5:5" hidden="1" x14ac:dyDescent="0.2">
      <c r="E327" s="127"/>
    </row>
    <row r="328" spans="5:5" hidden="1" x14ac:dyDescent="0.2">
      <c r="E328" s="127"/>
    </row>
    <row r="329" spans="5:5" hidden="1" x14ac:dyDescent="0.2">
      <c r="E329" s="127"/>
    </row>
    <row r="330" spans="5:5" hidden="1" x14ac:dyDescent="0.2">
      <c r="E330" s="127"/>
    </row>
    <row r="331" spans="5:5" hidden="1" x14ac:dyDescent="0.2">
      <c r="E331" s="127"/>
    </row>
    <row r="332" spans="5:5" hidden="1" x14ac:dyDescent="0.2">
      <c r="E332" s="127"/>
    </row>
    <row r="333" spans="5:5" hidden="1" x14ac:dyDescent="0.2">
      <c r="E333" s="127"/>
    </row>
    <row r="334" spans="5:5" hidden="1" x14ac:dyDescent="0.2">
      <c r="E334" s="127"/>
    </row>
    <row r="335" spans="5:5" hidden="1" x14ac:dyDescent="0.2">
      <c r="E335" s="127"/>
    </row>
    <row r="336" spans="5:5" hidden="1" x14ac:dyDescent="0.2">
      <c r="E336" s="127"/>
    </row>
    <row r="337" spans="5:5" hidden="1" x14ac:dyDescent="0.2">
      <c r="E337" s="127"/>
    </row>
    <row r="338" spans="5:5" hidden="1" x14ac:dyDescent="0.2">
      <c r="E338" s="127"/>
    </row>
    <row r="339" spans="5:5" hidden="1" x14ac:dyDescent="0.2">
      <c r="E339" s="127"/>
    </row>
    <row r="340" spans="5:5" hidden="1" x14ac:dyDescent="0.2">
      <c r="E340" s="127"/>
    </row>
    <row r="341" spans="5:5" hidden="1" x14ac:dyDescent="0.2">
      <c r="E341" s="127"/>
    </row>
    <row r="342" spans="5:5" hidden="1" x14ac:dyDescent="0.2">
      <c r="E342" s="127"/>
    </row>
    <row r="343" spans="5:5" hidden="1" x14ac:dyDescent="0.2">
      <c r="E343" s="127"/>
    </row>
    <row r="344" spans="5:5" hidden="1" x14ac:dyDescent="0.2">
      <c r="E344" s="127"/>
    </row>
    <row r="345" spans="5:5" hidden="1" x14ac:dyDescent="0.2">
      <c r="E345" s="127"/>
    </row>
    <row r="346" spans="5:5" hidden="1" x14ac:dyDescent="0.2">
      <c r="E346" s="127"/>
    </row>
    <row r="347" spans="5:5" hidden="1" x14ac:dyDescent="0.2">
      <c r="E347" s="127"/>
    </row>
    <row r="348" spans="5:5" hidden="1" x14ac:dyDescent="0.2">
      <c r="E348" s="127"/>
    </row>
    <row r="349" spans="5:5" hidden="1" x14ac:dyDescent="0.2">
      <c r="E349" s="127"/>
    </row>
    <row r="350" spans="5:5" hidden="1" x14ac:dyDescent="0.2">
      <c r="E350" s="127"/>
    </row>
    <row r="351" spans="5:5" hidden="1" x14ac:dyDescent="0.2">
      <c r="E351" s="127"/>
    </row>
    <row r="352" spans="5:5" hidden="1" x14ac:dyDescent="0.2">
      <c r="E352" s="127"/>
    </row>
    <row r="353" spans="5:5" hidden="1" x14ac:dyDescent="0.2">
      <c r="E353" s="127"/>
    </row>
    <row r="354" spans="5:5" hidden="1" x14ac:dyDescent="0.2">
      <c r="E354" s="127"/>
    </row>
    <row r="355" spans="5:5" hidden="1" x14ac:dyDescent="0.2">
      <c r="E355" s="127"/>
    </row>
    <row r="356" spans="5:5" hidden="1" x14ac:dyDescent="0.2">
      <c r="E356" s="127"/>
    </row>
    <row r="357" spans="5:5" hidden="1" x14ac:dyDescent="0.2">
      <c r="E357" s="127"/>
    </row>
    <row r="358" spans="5:5" hidden="1" x14ac:dyDescent="0.2">
      <c r="E358" s="127"/>
    </row>
    <row r="359" spans="5:5" hidden="1" x14ac:dyDescent="0.2">
      <c r="E359" s="127"/>
    </row>
    <row r="360" spans="5:5" hidden="1" x14ac:dyDescent="0.2">
      <c r="E360" s="127"/>
    </row>
    <row r="361" spans="5:5" hidden="1" x14ac:dyDescent="0.2">
      <c r="E361" s="127"/>
    </row>
    <row r="362" spans="5:5" hidden="1" x14ac:dyDescent="0.2">
      <c r="E362" s="127"/>
    </row>
    <row r="363" spans="5:5" hidden="1" x14ac:dyDescent="0.2">
      <c r="E363" s="127"/>
    </row>
    <row r="364" spans="5:5" hidden="1" x14ac:dyDescent="0.2">
      <c r="E364" s="127"/>
    </row>
    <row r="365" spans="5:5" hidden="1" x14ac:dyDescent="0.2">
      <c r="E365" s="127"/>
    </row>
    <row r="366" spans="5:5" hidden="1" x14ac:dyDescent="0.2">
      <c r="E366" s="127"/>
    </row>
    <row r="367" spans="5:5" hidden="1" x14ac:dyDescent="0.2">
      <c r="E367" s="127"/>
    </row>
    <row r="368" spans="5:5" hidden="1" x14ac:dyDescent="0.2">
      <c r="E368" s="127"/>
    </row>
    <row r="369" spans="5:5" hidden="1" x14ac:dyDescent="0.2">
      <c r="E369" s="127"/>
    </row>
    <row r="370" spans="5:5" hidden="1" x14ac:dyDescent="0.2">
      <c r="E370" s="127"/>
    </row>
    <row r="371" spans="5:5" hidden="1" x14ac:dyDescent="0.2">
      <c r="E371" s="127"/>
    </row>
    <row r="372" spans="5:5" hidden="1" x14ac:dyDescent="0.2">
      <c r="E372" s="127"/>
    </row>
    <row r="373" spans="5:5" hidden="1" x14ac:dyDescent="0.2">
      <c r="E373" s="127"/>
    </row>
    <row r="374" spans="5:5" hidden="1" x14ac:dyDescent="0.2">
      <c r="E374" s="127"/>
    </row>
    <row r="375" spans="5:5" hidden="1" x14ac:dyDescent="0.2">
      <c r="E375" s="127"/>
    </row>
    <row r="376" spans="5:5" hidden="1" x14ac:dyDescent="0.2">
      <c r="E376" s="127"/>
    </row>
    <row r="377" spans="5:5" hidden="1" x14ac:dyDescent="0.2">
      <c r="E377" s="127"/>
    </row>
    <row r="378" spans="5:5" hidden="1" x14ac:dyDescent="0.2">
      <c r="E378" s="127"/>
    </row>
    <row r="379" spans="5:5" hidden="1" x14ac:dyDescent="0.2">
      <c r="E379" s="127"/>
    </row>
    <row r="380" spans="5:5" hidden="1" x14ac:dyDescent="0.2">
      <c r="E380" s="127"/>
    </row>
    <row r="381" spans="5:5" hidden="1" x14ac:dyDescent="0.2">
      <c r="E381" s="127"/>
    </row>
    <row r="382" spans="5:5" hidden="1" x14ac:dyDescent="0.2">
      <c r="E382" s="127"/>
    </row>
    <row r="383" spans="5:5" hidden="1" x14ac:dyDescent="0.2">
      <c r="E383" s="127"/>
    </row>
    <row r="384" spans="5:5" hidden="1" x14ac:dyDescent="0.2">
      <c r="E384" s="127"/>
    </row>
    <row r="385" spans="5:5" hidden="1" x14ac:dyDescent="0.2">
      <c r="E385" s="127"/>
    </row>
    <row r="386" spans="5:5" hidden="1" x14ac:dyDescent="0.2">
      <c r="E386" s="127"/>
    </row>
    <row r="387" spans="5:5" hidden="1" x14ac:dyDescent="0.2">
      <c r="E387" s="127"/>
    </row>
    <row r="388" spans="5:5" hidden="1" x14ac:dyDescent="0.2">
      <c r="E388" s="127"/>
    </row>
    <row r="389" spans="5:5" hidden="1" x14ac:dyDescent="0.2">
      <c r="E389" s="127"/>
    </row>
    <row r="390" spans="5:5" hidden="1" x14ac:dyDescent="0.2">
      <c r="E390" s="127"/>
    </row>
    <row r="391" spans="5:5" hidden="1" x14ac:dyDescent="0.2">
      <c r="E391" s="127"/>
    </row>
    <row r="392" spans="5:5" hidden="1" x14ac:dyDescent="0.2">
      <c r="E392" s="127"/>
    </row>
    <row r="393" spans="5:5" hidden="1" x14ac:dyDescent="0.2">
      <c r="E393" s="127"/>
    </row>
    <row r="394" spans="5:5" hidden="1" x14ac:dyDescent="0.2">
      <c r="E394" s="127"/>
    </row>
    <row r="395" spans="5:5" hidden="1" x14ac:dyDescent="0.2">
      <c r="E395" s="127"/>
    </row>
    <row r="396" spans="5:5" hidden="1" x14ac:dyDescent="0.2">
      <c r="E396" s="127"/>
    </row>
    <row r="397" spans="5:5" hidden="1" x14ac:dyDescent="0.2">
      <c r="E397" s="127"/>
    </row>
    <row r="398" spans="5:5" hidden="1" x14ac:dyDescent="0.2">
      <c r="E398" s="127"/>
    </row>
    <row r="399" spans="5:5" hidden="1" x14ac:dyDescent="0.2">
      <c r="E399" s="127"/>
    </row>
    <row r="400" spans="5:5" hidden="1" x14ac:dyDescent="0.2">
      <c r="E400" s="127"/>
    </row>
    <row r="401" spans="5:5" hidden="1" x14ac:dyDescent="0.2">
      <c r="E401" s="127"/>
    </row>
    <row r="402" spans="5:5" hidden="1" x14ac:dyDescent="0.2">
      <c r="E402" s="127"/>
    </row>
    <row r="403" spans="5:5" hidden="1" x14ac:dyDescent="0.2">
      <c r="E403" s="127"/>
    </row>
    <row r="404" spans="5:5" hidden="1" x14ac:dyDescent="0.2">
      <c r="E404" s="127"/>
    </row>
    <row r="405" spans="5:5" hidden="1" x14ac:dyDescent="0.2">
      <c r="E405" s="127"/>
    </row>
    <row r="406" spans="5:5" hidden="1" x14ac:dyDescent="0.2">
      <c r="E406" s="127"/>
    </row>
    <row r="407" spans="5:5" hidden="1" x14ac:dyDescent="0.2">
      <c r="E407" s="127"/>
    </row>
    <row r="408" spans="5:5" hidden="1" x14ac:dyDescent="0.2">
      <c r="E408" s="127"/>
    </row>
    <row r="409" spans="5:5" hidden="1" x14ac:dyDescent="0.2">
      <c r="E409" s="127"/>
    </row>
    <row r="410" spans="5:5" hidden="1" x14ac:dyDescent="0.2">
      <c r="E410" s="127"/>
    </row>
    <row r="411" spans="5:5" hidden="1" x14ac:dyDescent="0.2">
      <c r="E411" s="127"/>
    </row>
    <row r="412" spans="5:5" hidden="1" x14ac:dyDescent="0.2">
      <c r="E412" s="127"/>
    </row>
    <row r="413" spans="5:5" hidden="1" x14ac:dyDescent="0.2">
      <c r="E413" s="127"/>
    </row>
    <row r="414" spans="5:5" hidden="1" x14ac:dyDescent="0.2">
      <c r="E414" s="127"/>
    </row>
    <row r="415" spans="5:5" hidden="1" x14ac:dyDescent="0.2">
      <c r="E415" s="127"/>
    </row>
    <row r="416" spans="5:5" hidden="1" x14ac:dyDescent="0.2">
      <c r="E416" s="127"/>
    </row>
    <row r="417" spans="5:5" hidden="1" x14ac:dyDescent="0.2">
      <c r="E417" s="127"/>
    </row>
    <row r="418" spans="5:5" hidden="1" x14ac:dyDescent="0.2">
      <c r="E418" s="127"/>
    </row>
    <row r="419" spans="5:5" hidden="1" x14ac:dyDescent="0.2">
      <c r="E419" s="127"/>
    </row>
    <row r="420" spans="5:5" hidden="1" x14ac:dyDescent="0.2">
      <c r="E420" s="127"/>
    </row>
    <row r="421" spans="5:5" hidden="1" x14ac:dyDescent="0.2">
      <c r="E421" s="127"/>
    </row>
    <row r="422" spans="5:5" hidden="1" x14ac:dyDescent="0.2">
      <c r="E422" s="127"/>
    </row>
    <row r="423" spans="5:5" hidden="1" x14ac:dyDescent="0.2">
      <c r="E423" s="127"/>
    </row>
    <row r="424" spans="5:5" hidden="1" x14ac:dyDescent="0.2">
      <c r="E424" s="127"/>
    </row>
    <row r="425" spans="5:5" hidden="1" x14ac:dyDescent="0.2">
      <c r="E425" s="127"/>
    </row>
    <row r="426" spans="5:5" hidden="1" x14ac:dyDescent="0.2">
      <c r="E426" s="127"/>
    </row>
    <row r="427" spans="5:5" hidden="1" x14ac:dyDescent="0.2">
      <c r="E427" s="127"/>
    </row>
    <row r="428" spans="5:5" hidden="1" x14ac:dyDescent="0.2">
      <c r="E428" s="127"/>
    </row>
    <row r="429" spans="5:5" hidden="1" x14ac:dyDescent="0.2">
      <c r="E429" s="127"/>
    </row>
    <row r="430" spans="5:5" hidden="1" x14ac:dyDescent="0.2">
      <c r="E430" s="127"/>
    </row>
    <row r="431" spans="5:5" hidden="1" x14ac:dyDescent="0.2">
      <c r="E431" s="127"/>
    </row>
    <row r="432" spans="5:5" hidden="1" x14ac:dyDescent="0.2">
      <c r="E432" s="127"/>
    </row>
    <row r="433" spans="5:5" hidden="1" x14ac:dyDescent="0.2">
      <c r="E433" s="127"/>
    </row>
    <row r="434" spans="5:5" hidden="1" x14ac:dyDescent="0.2">
      <c r="E434" s="127"/>
    </row>
    <row r="435" spans="5:5" hidden="1" x14ac:dyDescent="0.2">
      <c r="E435" s="127"/>
    </row>
    <row r="436" spans="5:5" hidden="1" x14ac:dyDescent="0.2">
      <c r="E436" s="127"/>
    </row>
    <row r="437" spans="5:5" hidden="1" x14ac:dyDescent="0.2">
      <c r="E437" s="127"/>
    </row>
    <row r="438" spans="5:5" hidden="1" x14ac:dyDescent="0.2">
      <c r="E438" s="127"/>
    </row>
    <row r="439" spans="5:5" hidden="1" x14ac:dyDescent="0.2">
      <c r="E439" s="127"/>
    </row>
    <row r="440" spans="5:5" hidden="1" x14ac:dyDescent="0.2">
      <c r="E440" s="127"/>
    </row>
    <row r="441" spans="5:5" hidden="1" x14ac:dyDescent="0.2">
      <c r="E441" s="127"/>
    </row>
    <row r="442" spans="5:5" hidden="1" x14ac:dyDescent="0.2">
      <c r="E442" s="127"/>
    </row>
    <row r="443" spans="5:5" hidden="1" x14ac:dyDescent="0.2">
      <c r="E443" s="127"/>
    </row>
    <row r="444" spans="5:5" hidden="1" x14ac:dyDescent="0.2">
      <c r="E444" s="127"/>
    </row>
    <row r="445" spans="5:5" hidden="1" x14ac:dyDescent="0.2">
      <c r="E445" s="127"/>
    </row>
    <row r="446" spans="5:5" hidden="1" x14ac:dyDescent="0.2">
      <c r="E446" s="127"/>
    </row>
    <row r="447" spans="5:5" hidden="1" x14ac:dyDescent="0.2">
      <c r="E447" s="127"/>
    </row>
    <row r="448" spans="5:5" hidden="1" x14ac:dyDescent="0.2">
      <c r="E448" s="127"/>
    </row>
    <row r="449" spans="5:5" hidden="1" x14ac:dyDescent="0.2">
      <c r="E449" s="127"/>
    </row>
    <row r="450" spans="5:5" hidden="1" x14ac:dyDescent="0.2">
      <c r="E450" s="127"/>
    </row>
    <row r="451" spans="5:5" hidden="1" x14ac:dyDescent="0.2">
      <c r="E451" s="127"/>
    </row>
    <row r="452" spans="5:5" hidden="1" x14ac:dyDescent="0.2">
      <c r="E452" s="127"/>
    </row>
    <row r="453" spans="5:5" hidden="1" x14ac:dyDescent="0.2">
      <c r="E453" s="127"/>
    </row>
    <row r="454" spans="5:5" hidden="1" x14ac:dyDescent="0.2">
      <c r="E454" s="127"/>
    </row>
    <row r="455" spans="5:5" hidden="1" x14ac:dyDescent="0.2">
      <c r="E455" s="127"/>
    </row>
    <row r="456" spans="5:5" hidden="1" x14ac:dyDescent="0.2">
      <c r="E456" s="127"/>
    </row>
    <row r="457" spans="5:5" hidden="1" x14ac:dyDescent="0.2">
      <c r="E457" s="127"/>
    </row>
    <row r="458" spans="5:5" hidden="1" x14ac:dyDescent="0.2">
      <c r="E458" s="127"/>
    </row>
    <row r="459" spans="5:5" hidden="1" x14ac:dyDescent="0.2">
      <c r="E459" s="127"/>
    </row>
    <row r="460" spans="5:5" hidden="1" x14ac:dyDescent="0.2">
      <c r="E460" s="127"/>
    </row>
    <row r="461" spans="5:5" hidden="1" x14ac:dyDescent="0.2">
      <c r="E461" s="127"/>
    </row>
    <row r="462" spans="5:5" hidden="1" x14ac:dyDescent="0.2">
      <c r="E462" s="127"/>
    </row>
    <row r="463" spans="5:5" hidden="1" x14ac:dyDescent="0.2">
      <c r="E463" s="127"/>
    </row>
    <row r="464" spans="5:5" hidden="1" x14ac:dyDescent="0.2">
      <c r="E464" s="127"/>
    </row>
    <row r="465" spans="5:5" hidden="1" x14ac:dyDescent="0.2">
      <c r="E465" s="127"/>
    </row>
    <row r="466" spans="5:5" hidden="1" x14ac:dyDescent="0.2">
      <c r="E466" s="127"/>
    </row>
    <row r="467" spans="5:5" hidden="1" x14ac:dyDescent="0.2">
      <c r="E467" s="127"/>
    </row>
    <row r="468" spans="5:5" hidden="1" x14ac:dyDescent="0.2">
      <c r="E468" s="127"/>
    </row>
    <row r="469" spans="5:5" hidden="1" x14ac:dyDescent="0.2">
      <c r="E469" s="127"/>
    </row>
    <row r="470" spans="5:5" hidden="1" x14ac:dyDescent="0.2">
      <c r="E470" s="127"/>
    </row>
    <row r="471" spans="5:5" hidden="1" x14ac:dyDescent="0.2">
      <c r="E471" s="127"/>
    </row>
    <row r="472" spans="5:5" hidden="1" x14ac:dyDescent="0.2">
      <c r="E472" s="127"/>
    </row>
    <row r="473" spans="5:5" hidden="1" x14ac:dyDescent="0.2">
      <c r="E473" s="127"/>
    </row>
    <row r="474" spans="5:5" hidden="1" x14ac:dyDescent="0.2">
      <c r="E474" s="127"/>
    </row>
    <row r="475" spans="5:5" hidden="1" x14ac:dyDescent="0.2">
      <c r="E475" s="127"/>
    </row>
    <row r="476" spans="5:5" hidden="1" x14ac:dyDescent="0.2">
      <c r="E476" s="127"/>
    </row>
    <row r="477" spans="5:5" hidden="1" x14ac:dyDescent="0.2">
      <c r="E477" s="127"/>
    </row>
    <row r="478" spans="5:5" hidden="1" x14ac:dyDescent="0.2">
      <c r="E478" s="127"/>
    </row>
    <row r="479" spans="5:5" hidden="1" x14ac:dyDescent="0.2">
      <c r="E479" s="127"/>
    </row>
    <row r="480" spans="5:5" hidden="1" x14ac:dyDescent="0.2">
      <c r="E480" s="127"/>
    </row>
    <row r="481" spans="5:5" hidden="1" x14ac:dyDescent="0.2">
      <c r="E481" s="127"/>
    </row>
    <row r="482" spans="5:5" hidden="1" x14ac:dyDescent="0.2">
      <c r="E482" s="127"/>
    </row>
    <row r="483" spans="5:5" hidden="1" x14ac:dyDescent="0.2">
      <c r="E483" s="127"/>
    </row>
    <row r="484" spans="5:5" hidden="1" x14ac:dyDescent="0.2">
      <c r="E484" s="127"/>
    </row>
  </sheetData>
  <sheetProtection password="CBF3" sheet="1" objects="1" scenarios="1" formatRows="0" selectLockedCells="1"/>
  <autoFilter ref="M14:M238"/>
  <customSheetViews>
    <customSheetView guid="{230C8139-1161-4CFC-85EC-553AF21548FA}" scale="90" showPageBreaks="1" zeroValues="0" printArea="1" showAutoFilter="1" hiddenRows="1" hiddenColumns="1">
      <selection activeCell="D7" sqref="D7"/>
      <pageMargins left="0.74803149606299213" right="0.74803149606299213" top="0.98425196850393704" bottom="0.98425196850393704" header="0.51181102362204722" footer="0.51181102362204722"/>
      <pageSetup paperSize="9" scale="70" fitToHeight="0" orientation="portrait" r:id="rId1"/>
      <headerFooter alignWithMargins="0">
        <oddHeader>&amp;LBOFAS&amp;CT3220_Formulier: Kostenraming sanering in BSP&amp;Rp. &amp;P/&amp;N</oddHeader>
        <oddFooter>&amp;L&amp;7Datum: 10/08/2010
Vervangt versie: 13/08/2008&amp;C&amp;8Formulier
versie 2&amp;R&amp;8Afdrukdatum: &amp;D</oddFooter>
      </headerFooter>
      <autoFilter ref="P14:P237"/>
    </customSheetView>
    <customSheetView guid="{774A8F87-974A-4D8C-97A9-561A721B83E2}" scale="90" showPageBreaks="1" zeroValues="0" fitToPage="1" printArea="1" showAutoFilter="1" hiddenRows="1" hiddenColumns="1" topLeftCell="A3">
      <pane xSplit="3" ySplit="9" topLeftCell="E12" activePane="bottomRight" state="frozen"/>
      <selection pane="bottomRight" activeCell="C8" sqref="C8"/>
      <pageMargins left="0.74803149606299213" right="0.74803149606299213" top="0.98425196850393704" bottom="0.98425196850393704" header="0.51181102362204722" footer="0.51181102362204722"/>
      <pageSetup paperSize="9" scale="54" fitToHeight="0" orientation="portrait" r:id="rId2"/>
      <headerFooter alignWithMargins="0">
        <oddHeader>&amp;LBOFAS&amp;CT3220_Formulier: Kostenraming sanering in BSP&amp;Rp. &amp;P/&amp;N</oddHeader>
        <oddFooter>&amp;L&amp;7Datum: 10/08/2010
Vervangt versie: 13/08/2008&amp;C&amp;8Formulier
versie 2&amp;R&amp;8Afdrukdatum: &amp;D</oddFooter>
      </headerFooter>
      <autoFilter ref="P14:P237"/>
    </customSheetView>
  </customSheetViews>
  <mergeCells count="9">
    <mergeCell ref="H12:I12"/>
    <mergeCell ref="J12:K12"/>
    <mergeCell ref="H10:I10"/>
    <mergeCell ref="J10:K10"/>
    <mergeCell ref="B3:L3"/>
    <mergeCell ref="F8:L8"/>
    <mergeCell ref="F6:L6"/>
    <mergeCell ref="F7:L7"/>
    <mergeCell ref="B4:L4"/>
  </mergeCells>
  <phoneticPr fontId="1" type="noConversion"/>
  <conditionalFormatting sqref="H133">
    <cfRule type="expression" dxfId="0" priority="1">
      <formula>AND($H$134&gt;0,$H$133=0)</formula>
    </cfRule>
  </conditionalFormatting>
  <pageMargins left="0.74803149606299213" right="0.74803149606299213" top="0.98425196850393704" bottom="0.98425196850393704" header="0.51181102362204722" footer="0.51181102362204722"/>
  <pageSetup paperSize="9" scale="80" fitToHeight="0" orientation="portrait" r:id="rId3"/>
  <headerFooter alignWithMargins="0">
    <oddHeader>&amp;LBOFAS&amp;C&amp;F&amp;Rp. &amp;P/&amp;N</oddHeader>
    <oddFooter>&amp;L&amp;7Datum: 23/08/2010
Vervangt versie: 13/08/2008&amp;C&amp;8Formulier
versie 2&amp;R&amp;8Afdrukdatum: &amp;D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Raming</vt:lpstr>
      <vt:lpstr>Raming!Print_Area</vt:lpstr>
      <vt:lpstr>Raming!Print_Titles</vt:lpstr>
    </vt:vector>
  </TitlesOfParts>
  <Company>Bofas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T3220_FOR_Kostenraming sanering in BSP</dc:title>
  <dc:subject>Formulier</dc:subject>
  <dc:creator>BOFAS</dc:creator>
  <dc:description>Datum opmaak: 23/01/2007 Datum aanpassing 1 (nulsituatie standaarddocumenten EBSD): 13/08/2008: v2 dd 23/08/2010 volledige herziening</dc:description>
  <cp:lastModifiedBy>Leen Vandenbussche</cp:lastModifiedBy>
  <cp:lastPrinted>2010-08-23T10:33:58Z</cp:lastPrinted>
  <dcterms:created xsi:type="dcterms:W3CDTF">2004-08-30T10:01:47Z</dcterms:created>
  <dcterms:modified xsi:type="dcterms:W3CDTF">2014-06-23T09:10:55Z</dcterms:modified>
</cp:coreProperties>
</file>